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8525" windowHeight="6960"/>
  </bookViews>
  <sheets>
    <sheet name="Группа А" sheetId="35" r:id="rId1"/>
    <sheet name="Группа В" sheetId="43" r:id="rId2"/>
    <sheet name="Плей офф Кубок А-В" sheetId="20" r:id="rId3"/>
    <sheet name="Плей офф Кубок В" sheetId="19" r:id="rId4"/>
    <sheet name="Детский командный" sheetId="15" r:id="rId5"/>
    <sheet name="Детский личный" sheetId="34" r:id="rId6"/>
    <sheet name="Кубок С (дружеский)" sheetId="16" r:id="rId7"/>
    <sheet name="Служебный лист" sheetId="4" state="hidden" r:id="rId8"/>
  </sheets>
  <calcPr calcId="114210"/>
</workbook>
</file>

<file path=xl/calcChain.xml><?xml version="1.0" encoding="utf-8"?>
<calcChain xmlns="http://schemas.openxmlformats.org/spreadsheetml/2006/main">
  <c r="J63" i="4"/>
  <c r="I63"/>
  <c r="J62"/>
  <c r="I62"/>
  <c r="J61"/>
  <c r="I61"/>
  <c r="J60"/>
  <c r="I60"/>
  <c r="J58"/>
  <c r="I58"/>
  <c r="J57"/>
  <c r="I57"/>
  <c r="J56"/>
  <c r="I56"/>
  <c r="J55"/>
  <c r="I55"/>
  <c r="J54"/>
  <c r="I54"/>
  <c r="J52"/>
  <c r="I52"/>
  <c r="J51"/>
  <c r="I51"/>
  <c r="J50"/>
  <c r="I50"/>
  <c r="J49"/>
  <c r="I49"/>
  <c r="J48"/>
  <c r="I48"/>
  <c r="J46"/>
  <c r="I46"/>
  <c r="J45"/>
  <c r="I45"/>
  <c r="J44"/>
  <c r="I44"/>
  <c r="I24"/>
  <c r="I25"/>
  <c r="I26"/>
  <c r="I27"/>
  <c r="I28"/>
  <c r="I30"/>
  <c r="I31"/>
  <c r="I32"/>
  <c r="I33"/>
  <c r="I34"/>
  <c r="I36"/>
  <c r="I37"/>
  <c r="I38"/>
  <c r="I39"/>
  <c r="I40"/>
  <c r="I42"/>
  <c r="I43"/>
  <c r="S8"/>
  <c r="S26"/>
  <c r="J24"/>
  <c r="J25"/>
  <c r="J26"/>
  <c r="J27"/>
  <c r="J28"/>
  <c r="J30"/>
  <c r="J31"/>
  <c r="J32"/>
  <c r="J33"/>
  <c r="J34"/>
  <c r="J36"/>
  <c r="J37"/>
  <c r="J38"/>
  <c r="J39"/>
  <c r="J40"/>
  <c r="J42"/>
  <c r="J43"/>
  <c r="AB8"/>
  <c r="AB26"/>
  <c r="S43"/>
  <c r="R8"/>
  <c r="R26"/>
  <c r="AA8"/>
  <c r="AA26"/>
  <c r="R43"/>
  <c r="Q8"/>
  <c r="Q26"/>
  <c r="Z8"/>
  <c r="Z26"/>
  <c r="Q43"/>
  <c r="P8"/>
  <c r="P26"/>
  <c r="Y8"/>
  <c r="Y26"/>
  <c r="P43"/>
  <c r="O8"/>
  <c r="O26"/>
  <c r="X8"/>
  <c r="X26"/>
  <c r="O43"/>
  <c r="N8"/>
  <c r="N26"/>
  <c r="W8"/>
  <c r="W26"/>
  <c r="N43"/>
  <c r="M8"/>
  <c r="M26"/>
  <c r="V8"/>
  <c r="V26"/>
  <c r="M43"/>
  <c r="L8"/>
  <c r="L26"/>
  <c r="U8"/>
  <c r="U26"/>
  <c r="L43"/>
  <c r="S25"/>
  <c r="AB25"/>
  <c r="S42"/>
  <c r="R25"/>
  <c r="AA25"/>
  <c r="R42"/>
  <c r="Q25"/>
  <c r="Z25"/>
  <c r="Q42"/>
  <c r="P25"/>
  <c r="Y25"/>
  <c r="P42"/>
  <c r="O25"/>
  <c r="X25"/>
  <c r="O42"/>
  <c r="N25"/>
  <c r="W25"/>
  <c r="N42"/>
  <c r="M25"/>
  <c r="V25"/>
  <c r="M42"/>
  <c r="L25"/>
  <c r="U25"/>
  <c r="L42"/>
  <c r="S7"/>
  <c r="S24"/>
  <c r="AB7"/>
  <c r="AB24"/>
  <c r="S41"/>
  <c r="R7"/>
  <c r="R24"/>
  <c r="AA7"/>
  <c r="AA24"/>
  <c r="R41"/>
  <c r="Q7"/>
  <c r="Q24"/>
  <c r="Z7"/>
  <c r="Z24"/>
  <c r="Q41"/>
  <c r="P7"/>
  <c r="P24"/>
  <c r="Y7"/>
  <c r="Y24"/>
  <c r="P41"/>
  <c r="O7"/>
  <c r="O24"/>
  <c r="X7"/>
  <c r="X24"/>
  <c r="O41"/>
  <c r="N7"/>
  <c r="N24"/>
  <c r="W7"/>
  <c r="W24"/>
  <c r="N41"/>
  <c r="M7"/>
  <c r="M24"/>
  <c r="V7"/>
  <c r="V24"/>
  <c r="M41"/>
  <c r="L7"/>
  <c r="L24"/>
  <c r="U7"/>
  <c r="U24"/>
  <c r="L41"/>
  <c r="S23"/>
  <c r="AB23"/>
  <c r="S40"/>
  <c r="R23"/>
  <c r="AA23"/>
  <c r="R40"/>
  <c r="Q23"/>
  <c r="Z23"/>
  <c r="Q40"/>
  <c r="P23"/>
  <c r="Y23"/>
  <c r="P40"/>
  <c r="O23"/>
  <c r="X23"/>
  <c r="O40"/>
  <c r="N23"/>
  <c r="W23"/>
  <c r="N40"/>
  <c r="M23"/>
  <c r="V23"/>
  <c r="M40"/>
  <c r="L23"/>
  <c r="U23"/>
  <c r="L40"/>
  <c r="S6"/>
  <c r="S22"/>
  <c r="AB6"/>
  <c r="AB22"/>
  <c r="S39"/>
  <c r="R6"/>
  <c r="R22"/>
  <c r="AA6"/>
  <c r="AA22"/>
  <c r="R39"/>
  <c r="Q6"/>
  <c r="Q22"/>
  <c r="Z6"/>
  <c r="Z22"/>
  <c r="Q39"/>
  <c r="P6"/>
  <c r="P22"/>
  <c r="Y6"/>
  <c r="Y22"/>
  <c r="P39"/>
  <c r="O6"/>
  <c r="O22"/>
  <c r="X6"/>
  <c r="X22"/>
  <c r="O39"/>
  <c r="N6"/>
  <c r="N22"/>
  <c r="W6"/>
  <c r="W22"/>
  <c r="N39"/>
  <c r="M6"/>
  <c r="M22"/>
  <c r="V6"/>
  <c r="V22"/>
  <c r="M39"/>
  <c r="L6"/>
  <c r="L22"/>
  <c r="U6"/>
  <c r="U22"/>
  <c r="L39"/>
  <c r="S21"/>
  <c r="AB21"/>
  <c r="S38"/>
  <c r="R21"/>
  <c r="AA21"/>
  <c r="R38"/>
  <c r="Q21"/>
  <c r="Z21"/>
  <c r="Q38"/>
  <c r="P21"/>
  <c r="Y21"/>
  <c r="P38"/>
  <c r="O21"/>
  <c r="X21"/>
  <c r="O38"/>
  <c r="N21"/>
  <c r="W21"/>
  <c r="N38"/>
  <c r="M21"/>
  <c r="V21"/>
  <c r="M38"/>
  <c r="L21"/>
  <c r="U21"/>
  <c r="L38"/>
  <c r="S5"/>
  <c r="S20"/>
  <c r="AB5"/>
  <c r="AB20"/>
  <c r="S37"/>
  <c r="R5"/>
  <c r="R20"/>
  <c r="AA5"/>
  <c r="AA20"/>
  <c r="R37"/>
  <c r="Q5"/>
  <c r="Q20"/>
  <c r="Z5"/>
  <c r="Z20"/>
  <c r="Q37"/>
  <c r="P5"/>
  <c r="P20"/>
  <c r="Y5"/>
  <c r="Y20"/>
  <c r="P37"/>
  <c r="O5"/>
  <c r="O20"/>
  <c r="X5"/>
  <c r="X20"/>
  <c r="O37"/>
  <c r="N5"/>
  <c r="N20"/>
  <c r="W5"/>
  <c r="W20"/>
  <c r="N37"/>
  <c r="M5"/>
  <c r="M20"/>
  <c r="V5"/>
  <c r="V20"/>
  <c r="M37"/>
  <c r="L5"/>
  <c r="L20"/>
  <c r="U5"/>
  <c r="U20"/>
  <c r="L37"/>
  <c r="S19"/>
  <c r="AB19"/>
  <c r="S36"/>
  <c r="R19"/>
  <c r="AA19"/>
  <c r="R36"/>
  <c r="Q19"/>
  <c r="Z19"/>
  <c r="Q36"/>
  <c r="P19"/>
  <c r="Y19"/>
  <c r="P36"/>
  <c r="O19"/>
  <c r="X19"/>
  <c r="O36"/>
  <c r="N19"/>
  <c r="W19"/>
  <c r="N36"/>
  <c r="M19"/>
  <c r="V19"/>
  <c r="M36"/>
  <c r="L19"/>
  <c r="U19"/>
  <c r="L36"/>
  <c r="S4"/>
  <c r="S18"/>
  <c r="AB4"/>
  <c r="AB18"/>
  <c r="S35"/>
  <c r="R4"/>
  <c r="R18"/>
  <c r="AA4"/>
  <c r="AA18"/>
  <c r="R35"/>
  <c r="Q4"/>
  <c r="Q18"/>
  <c r="Z4"/>
  <c r="Z18"/>
  <c r="Q35"/>
  <c r="P4"/>
  <c r="P18"/>
  <c r="Y4"/>
  <c r="Y18"/>
  <c r="P35"/>
  <c r="O4"/>
  <c r="O18"/>
  <c r="X4"/>
  <c r="X18"/>
  <c r="O35"/>
  <c r="N4"/>
  <c r="N18"/>
  <c r="W4"/>
  <c r="W18"/>
  <c r="N35"/>
  <c r="M4"/>
  <c r="M18"/>
  <c r="V4"/>
  <c r="V18"/>
  <c r="M35"/>
  <c r="L4"/>
  <c r="L18"/>
  <c r="U4"/>
  <c r="U18"/>
  <c r="L35"/>
  <c r="S17"/>
  <c r="AB17"/>
  <c r="S34"/>
  <c r="R17"/>
  <c r="AA17"/>
  <c r="R34"/>
  <c r="Q17"/>
  <c r="Z17"/>
  <c r="Q34"/>
  <c r="P17"/>
  <c r="Y17"/>
  <c r="P34"/>
  <c r="O17"/>
  <c r="X17"/>
  <c r="O34"/>
  <c r="N17"/>
  <c r="W17"/>
  <c r="N34"/>
  <c r="M17"/>
  <c r="V17"/>
  <c r="M34"/>
  <c r="L17"/>
  <c r="U17"/>
  <c r="L34"/>
  <c r="S3"/>
  <c r="S16"/>
  <c r="AB3"/>
  <c r="AB16"/>
  <c r="S33"/>
  <c r="R3"/>
  <c r="R16"/>
  <c r="AA3"/>
  <c r="AA16"/>
  <c r="R33"/>
  <c r="Q3"/>
  <c r="Q16"/>
  <c r="Z3"/>
  <c r="Z16"/>
  <c r="Q33"/>
  <c r="P3"/>
  <c r="P16"/>
  <c r="Y3"/>
  <c r="Y16"/>
  <c r="P33"/>
  <c r="O3"/>
  <c r="O16"/>
  <c r="X3"/>
  <c r="X16"/>
  <c r="O33"/>
  <c r="N3"/>
  <c r="N16"/>
  <c r="W3"/>
  <c r="W16"/>
  <c r="N33"/>
  <c r="M3"/>
  <c r="M16"/>
  <c r="V3"/>
  <c r="V16"/>
  <c r="M33"/>
  <c r="L3"/>
  <c r="L16"/>
  <c r="U3"/>
  <c r="U16"/>
  <c r="L33"/>
  <c r="S15"/>
  <c r="AB15"/>
  <c r="S32"/>
  <c r="R15"/>
  <c r="AA15"/>
  <c r="R32"/>
  <c r="Q15"/>
  <c r="Z15"/>
  <c r="Q32"/>
  <c r="P15"/>
  <c r="Y15"/>
  <c r="P32"/>
  <c r="O15"/>
  <c r="X15"/>
  <c r="O32"/>
  <c r="N15"/>
  <c r="W15"/>
  <c r="N32"/>
  <c r="M15"/>
  <c r="V15"/>
  <c r="M32"/>
  <c r="L15"/>
  <c r="U15"/>
  <c r="L32"/>
  <c r="S2"/>
  <c r="S14"/>
  <c r="AB2"/>
  <c r="AB14"/>
  <c r="S31"/>
  <c r="R2"/>
  <c r="R14"/>
  <c r="AA2"/>
  <c r="AA14"/>
  <c r="R31"/>
  <c r="Q2"/>
  <c r="Q14"/>
  <c r="Z2"/>
  <c r="Z14"/>
  <c r="Q31"/>
  <c r="P2"/>
  <c r="P14"/>
  <c r="Y2"/>
  <c r="Y14"/>
  <c r="P31"/>
  <c r="O2"/>
  <c r="O14"/>
  <c r="X2"/>
  <c r="X14"/>
  <c r="O31"/>
  <c r="N2"/>
  <c r="N14"/>
  <c r="W2"/>
  <c r="W14"/>
  <c r="N31"/>
  <c r="M2"/>
  <c r="M14"/>
  <c r="V2"/>
  <c r="V14"/>
  <c r="M31"/>
  <c r="L2"/>
  <c r="L14"/>
  <c r="U2"/>
  <c r="U14"/>
  <c r="L31"/>
  <c r="S13"/>
  <c r="AB13"/>
  <c r="S30"/>
  <c r="R13"/>
  <c r="AA13"/>
  <c r="R30"/>
  <c r="Q13"/>
  <c r="Z13"/>
  <c r="Q30"/>
  <c r="P13"/>
  <c r="Y13"/>
  <c r="P30"/>
  <c r="O13"/>
  <c r="X13"/>
  <c r="O30"/>
  <c r="N13"/>
  <c r="W13"/>
  <c r="N30"/>
  <c r="M13"/>
  <c r="V13"/>
  <c r="M30"/>
  <c r="L13"/>
  <c r="U13"/>
  <c r="L30"/>
  <c r="S1"/>
  <c r="S12"/>
  <c r="AB1"/>
  <c r="AB12"/>
  <c r="S29"/>
  <c r="R1"/>
  <c r="R12"/>
  <c r="AA1"/>
  <c r="AA12"/>
  <c r="R29"/>
  <c r="Q1"/>
  <c r="Q12"/>
  <c r="Z1"/>
  <c r="Z12"/>
  <c r="Q29"/>
  <c r="P1"/>
  <c r="P12"/>
  <c r="Y1"/>
  <c r="Y12"/>
  <c r="P29"/>
  <c r="O1"/>
  <c r="O12"/>
  <c r="X1"/>
  <c r="X12"/>
  <c r="O29"/>
  <c r="N1"/>
  <c r="N12"/>
  <c r="W1"/>
  <c r="W12"/>
  <c r="N29"/>
  <c r="M1"/>
  <c r="M12"/>
  <c r="V1"/>
  <c r="V12"/>
  <c r="M29"/>
  <c r="L1"/>
  <c r="L12"/>
  <c r="U1"/>
  <c r="U12"/>
  <c r="L29"/>
  <c r="S11"/>
  <c r="AB11"/>
  <c r="S28"/>
  <c r="R11"/>
  <c r="AA11"/>
  <c r="R28"/>
  <c r="Q11"/>
  <c r="Z11"/>
  <c r="Q28"/>
  <c r="P11"/>
  <c r="Y11"/>
  <c r="P28"/>
  <c r="O11"/>
  <c r="X11"/>
  <c r="O28"/>
  <c r="N11"/>
  <c r="W11"/>
  <c r="N28"/>
  <c r="M11"/>
  <c r="V11"/>
  <c r="M28"/>
  <c r="L11"/>
  <c r="U11"/>
  <c r="L28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  <c r="H1"/>
  <c r="G1"/>
  <c r="F1"/>
  <c r="E1"/>
  <c r="D1"/>
  <c r="C1"/>
  <c r="B1"/>
  <c r="A1"/>
  <c r="B40" i="20"/>
  <c r="F38"/>
  <c r="B36"/>
  <c r="F30"/>
  <c r="J26"/>
  <c r="F22"/>
  <c r="N18"/>
  <c r="F14"/>
  <c r="J10"/>
  <c r="F6"/>
  <c r="B24" i="19"/>
  <c r="F22"/>
  <c r="B20"/>
  <c r="F14"/>
  <c r="J10"/>
  <c r="F6"/>
  <c r="H63" i="43"/>
  <c r="C63"/>
  <c r="H62"/>
  <c r="C62"/>
  <c r="H61"/>
  <c r="C61"/>
  <c r="C18"/>
  <c r="H60"/>
  <c r="C60"/>
  <c r="H57"/>
  <c r="C57"/>
  <c r="H56"/>
  <c r="C56"/>
  <c r="H55"/>
  <c r="C55"/>
  <c r="H54"/>
  <c r="C54"/>
  <c r="H51"/>
  <c r="C51"/>
  <c r="H50"/>
  <c r="C50"/>
  <c r="H49"/>
  <c r="C49"/>
  <c r="H48"/>
  <c r="C48"/>
  <c r="H45"/>
  <c r="C45"/>
  <c r="H44"/>
  <c r="C44"/>
  <c r="H43"/>
  <c r="C43"/>
  <c r="H42"/>
  <c r="C42"/>
  <c r="H39"/>
  <c r="C39"/>
  <c r="H38"/>
  <c r="C38"/>
  <c r="H37"/>
  <c r="C37"/>
  <c r="H36"/>
  <c r="C36"/>
  <c r="H33"/>
  <c r="C33"/>
  <c r="H32"/>
  <c r="C32"/>
  <c r="H31"/>
  <c r="C31"/>
  <c r="H30"/>
  <c r="C30"/>
  <c r="H27"/>
  <c r="C27"/>
  <c r="H26"/>
  <c r="C26"/>
  <c r="H25"/>
  <c r="C25"/>
  <c r="H24"/>
  <c r="C24"/>
  <c r="F18"/>
  <c r="F19"/>
  <c r="G18"/>
  <c r="G19"/>
  <c r="H18"/>
  <c r="H19"/>
  <c r="I18"/>
  <c r="I19"/>
  <c r="J18"/>
  <c r="J19"/>
  <c r="K18"/>
  <c r="K19"/>
  <c r="L18"/>
  <c r="L19"/>
  <c r="O19"/>
  <c r="N18"/>
  <c r="F16"/>
  <c r="F17"/>
  <c r="G16"/>
  <c r="G17"/>
  <c r="H16"/>
  <c r="H17"/>
  <c r="I16"/>
  <c r="I17"/>
  <c r="J16"/>
  <c r="J17"/>
  <c r="K16"/>
  <c r="K17"/>
  <c r="M16"/>
  <c r="M17"/>
  <c r="O17"/>
  <c r="N16"/>
  <c r="F14"/>
  <c r="F15"/>
  <c r="G14"/>
  <c r="G15"/>
  <c r="H14"/>
  <c r="H15"/>
  <c r="I14"/>
  <c r="I15"/>
  <c r="J14"/>
  <c r="J15"/>
  <c r="L14"/>
  <c r="L15"/>
  <c r="M14"/>
  <c r="M15"/>
  <c r="O15"/>
  <c r="N14"/>
  <c r="F12"/>
  <c r="F13"/>
  <c r="G12"/>
  <c r="G13"/>
  <c r="H12"/>
  <c r="H13"/>
  <c r="I12"/>
  <c r="I13"/>
  <c r="K12"/>
  <c r="K13"/>
  <c r="L12"/>
  <c r="L13"/>
  <c r="M12"/>
  <c r="M13"/>
  <c r="O13"/>
  <c r="N12"/>
  <c r="F10"/>
  <c r="F11"/>
  <c r="G10"/>
  <c r="G11"/>
  <c r="H10"/>
  <c r="H11"/>
  <c r="J10"/>
  <c r="J11"/>
  <c r="K10"/>
  <c r="K11"/>
  <c r="L10"/>
  <c r="L11"/>
  <c r="M10"/>
  <c r="M11"/>
  <c r="O11"/>
  <c r="N10"/>
  <c r="F8"/>
  <c r="F9"/>
  <c r="G8"/>
  <c r="G9"/>
  <c r="I8"/>
  <c r="I9"/>
  <c r="J8"/>
  <c r="J9"/>
  <c r="K8"/>
  <c r="K9"/>
  <c r="L8"/>
  <c r="L9"/>
  <c r="M8"/>
  <c r="M9"/>
  <c r="O9"/>
  <c r="N8"/>
  <c r="F6"/>
  <c r="F7"/>
  <c r="H6"/>
  <c r="H7"/>
  <c r="I6"/>
  <c r="I7"/>
  <c r="J6"/>
  <c r="J7"/>
  <c r="K6"/>
  <c r="K7"/>
  <c r="L6"/>
  <c r="L7"/>
  <c r="M6"/>
  <c r="M7"/>
  <c r="O7"/>
  <c r="N6"/>
  <c r="G4"/>
  <c r="G5"/>
  <c r="H4"/>
  <c r="H5"/>
  <c r="I4"/>
  <c r="I5"/>
  <c r="J4"/>
  <c r="J5"/>
  <c r="K4"/>
  <c r="K5"/>
  <c r="L4"/>
  <c r="L5"/>
  <c r="M4"/>
  <c r="M5"/>
  <c r="O5"/>
  <c r="N4"/>
  <c r="H63" i="35"/>
  <c r="C63"/>
  <c r="H62"/>
  <c r="C62"/>
  <c r="H61"/>
  <c r="C61"/>
  <c r="C18"/>
  <c r="H60"/>
  <c r="C60"/>
  <c r="H57"/>
  <c r="C57"/>
  <c r="H56"/>
  <c r="C56"/>
  <c r="H55"/>
  <c r="C55"/>
  <c r="H54"/>
  <c r="C54"/>
  <c r="H51"/>
  <c r="C51"/>
  <c r="H50"/>
  <c r="C50"/>
  <c r="H49"/>
  <c r="C49"/>
  <c r="H48"/>
  <c r="C48"/>
  <c r="H45"/>
  <c r="C45"/>
  <c r="H44"/>
  <c r="C44"/>
  <c r="H43"/>
  <c r="C43"/>
  <c r="H42"/>
  <c r="C42"/>
  <c r="H39"/>
  <c r="C39"/>
  <c r="H38"/>
  <c r="C38"/>
  <c r="H37"/>
  <c r="C37"/>
  <c r="H36"/>
  <c r="C36"/>
  <c r="H33"/>
  <c r="C33"/>
  <c r="H32"/>
  <c r="C32"/>
  <c r="H31"/>
  <c r="C31"/>
  <c r="H30"/>
  <c r="C30"/>
  <c r="H27"/>
  <c r="C27"/>
  <c r="H26"/>
  <c r="C26"/>
  <c r="H25"/>
  <c r="C25"/>
  <c r="H24"/>
  <c r="C24"/>
  <c r="F18"/>
  <c r="F19"/>
  <c r="G18"/>
  <c r="G19"/>
  <c r="H18"/>
  <c r="H19"/>
  <c r="I18"/>
  <c r="I19"/>
  <c r="J18"/>
  <c r="J19"/>
  <c r="K18"/>
  <c r="K19"/>
  <c r="L18"/>
  <c r="L19"/>
  <c r="O19"/>
  <c r="N18"/>
  <c r="F16"/>
  <c r="F17"/>
  <c r="G16"/>
  <c r="G17"/>
  <c r="H16"/>
  <c r="H17"/>
  <c r="I16"/>
  <c r="I17"/>
  <c r="J16"/>
  <c r="J17"/>
  <c r="K16"/>
  <c r="K17"/>
  <c r="M16"/>
  <c r="M17"/>
  <c r="O17"/>
  <c r="N16"/>
  <c r="F14"/>
  <c r="F15"/>
  <c r="G14"/>
  <c r="G15"/>
  <c r="H14"/>
  <c r="H15"/>
  <c r="I14"/>
  <c r="I15"/>
  <c r="J14"/>
  <c r="J15"/>
  <c r="L14"/>
  <c r="L15"/>
  <c r="M14"/>
  <c r="M15"/>
  <c r="O15"/>
  <c r="N14"/>
  <c r="F12"/>
  <c r="F13"/>
  <c r="G12"/>
  <c r="G13"/>
  <c r="H12"/>
  <c r="H13"/>
  <c r="I12"/>
  <c r="I13"/>
  <c r="K12"/>
  <c r="K13"/>
  <c r="L12"/>
  <c r="L13"/>
  <c r="M12"/>
  <c r="M13"/>
  <c r="O13"/>
  <c r="N12"/>
  <c r="F10"/>
  <c r="F11"/>
  <c r="G10"/>
  <c r="G11"/>
  <c r="H10"/>
  <c r="H11"/>
  <c r="J10"/>
  <c r="J11"/>
  <c r="K10"/>
  <c r="K11"/>
  <c r="L10"/>
  <c r="L11"/>
  <c r="M10"/>
  <c r="M11"/>
  <c r="O11"/>
  <c r="N10"/>
  <c r="F8"/>
  <c r="F9"/>
  <c r="G8"/>
  <c r="G9"/>
  <c r="I8"/>
  <c r="I9"/>
  <c r="J8"/>
  <c r="J9"/>
  <c r="K8"/>
  <c r="K9"/>
  <c r="L8"/>
  <c r="L9"/>
  <c r="M8"/>
  <c r="M9"/>
  <c r="O9"/>
  <c r="N8"/>
  <c r="F6"/>
  <c r="F7"/>
  <c r="H6"/>
  <c r="H7"/>
  <c r="I6"/>
  <c r="I7"/>
  <c r="J6"/>
  <c r="J7"/>
  <c r="K6"/>
  <c r="K7"/>
  <c r="L6"/>
  <c r="L7"/>
  <c r="M6"/>
  <c r="M7"/>
  <c r="O7"/>
  <c r="N6"/>
  <c r="G4"/>
  <c r="G5"/>
  <c r="H4"/>
  <c r="H5"/>
  <c r="I4"/>
  <c r="I5"/>
  <c r="J4"/>
  <c r="J5"/>
  <c r="K4"/>
  <c r="K5"/>
  <c r="L4"/>
  <c r="L5"/>
  <c r="M4"/>
  <c r="M5"/>
  <c r="O5"/>
  <c r="N4"/>
  <c r="H54" i="34"/>
  <c r="C54"/>
  <c r="H53"/>
  <c r="C53"/>
  <c r="H52"/>
  <c r="C52"/>
  <c r="H49"/>
  <c r="C49"/>
  <c r="H48"/>
  <c r="C48"/>
  <c r="H47"/>
  <c r="C47"/>
  <c r="H44"/>
  <c r="C44"/>
  <c r="H43"/>
  <c r="C43"/>
  <c r="H42"/>
  <c r="C42"/>
  <c r="H39"/>
  <c r="C39"/>
  <c r="H38"/>
  <c r="C38"/>
  <c r="H37"/>
  <c r="C37"/>
  <c r="H34"/>
  <c r="C34"/>
  <c r="H33"/>
  <c r="C33"/>
  <c r="H32"/>
  <c r="C32"/>
  <c r="H29"/>
  <c r="C29"/>
  <c r="H28"/>
  <c r="C28"/>
  <c r="H27"/>
  <c r="C27"/>
  <c r="H24"/>
  <c r="C24"/>
  <c r="H23"/>
  <c r="C23"/>
  <c r="H22"/>
  <c r="C22"/>
  <c r="F16"/>
  <c r="F17"/>
  <c r="G16"/>
  <c r="G17"/>
  <c r="H16"/>
  <c r="H17"/>
  <c r="I16"/>
  <c r="I17"/>
  <c r="J16"/>
  <c r="J17"/>
  <c r="K16"/>
  <c r="K17"/>
  <c r="N17"/>
  <c r="M16"/>
  <c r="F14"/>
  <c r="F15"/>
  <c r="G14"/>
  <c r="G15"/>
  <c r="H14"/>
  <c r="H15"/>
  <c r="I14"/>
  <c r="I15"/>
  <c r="J14"/>
  <c r="J15"/>
  <c r="L14"/>
  <c r="L15"/>
  <c r="N15"/>
  <c r="M14"/>
  <c r="F12"/>
  <c r="F13"/>
  <c r="G12"/>
  <c r="G13"/>
  <c r="H12"/>
  <c r="H13"/>
  <c r="I12"/>
  <c r="I13"/>
  <c r="K12"/>
  <c r="K13"/>
  <c r="L12"/>
  <c r="L13"/>
  <c r="N13"/>
  <c r="M12"/>
  <c r="F10"/>
  <c r="F11"/>
  <c r="G10"/>
  <c r="G11"/>
  <c r="H10"/>
  <c r="H11"/>
  <c r="J10"/>
  <c r="J11"/>
  <c r="K10"/>
  <c r="K11"/>
  <c r="L10"/>
  <c r="L11"/>
  <c r="N11"/>
  <c r="M10"/>
  <c r="F8"/>
  <c r="F9"/>
  <c r="G8"/>
  <c r="G9"/>
  <c r="I8"/>
  <c r="I9"/>
  <c r="J8"/>
  <c r="J9"/>
  <c r="K8"/>
  <c r="K9"/>
  <c r="L8"/>
  <c r="L9"/>
  <c r="N9"/>
  <c r="M8"/>
  <c r="F6"/>
  <c r="F7"/>
  <c r="H6"/>
  <c r="H7"/>
  <c r="I6"/>
  <c r="I7"/>
  <c r="J6"/>
  <c r="J7"/>
  <c r="K6"/>
  <c r="K7"/>
  <c r="L6"/>
  <c r="L7"/>
  <c r="N7"/>
  <c r="M6"/>
  <c r="G4"/>
  <c r="G5"/>
  <c r="H4"/>
  <c r="H5"/>
  <c r="I4"/>
  <c r="I5"/>
  <c r="J4"/>
  <c r="J5"/>
  <c r="K4"/>
  <c r="K5"/>
  <c r="L4"/>
  <c r="L5"/>
  <c r="N5"/>
  <c r="M4"/>
  <c r="H35" i="16"/>
  <c r="C35"/>
  <c r="H34"/>
  <c r="C34"/>
  <c r="H31"/>
  <c r="C31"/>
  <c r="H30"/>
  <c r="C30"/>
  <c r="H27"/>
  <c r="C27"/>
  <c r="H26"/>
  <c r="C26"/>
  <c r="H23"/>
  <c r="C23"/>
  <c r="H22"/>
  <c r="C22"/>
  <c r="H19"/>
  <c r="C19"/>
  <c r="H18"/>
  <c r="C18"/>
  <c r="F12"/>
  <c r="F13"/>
  <c r="G12"/>
  <c r="G13"/>
  <c r="H12"/>
  <c r="H13"/>
  <c r="I12"/>
  <c r="I13"/>
  <c r="L13"/>
  <c r="K12"/>
  <c r="F10"/>
  <c r="F11"/>
  <c r="G10"/>
  <c r="G11"/>
  <c r="H10"/>
  <c r="H11"/>
  <c r="J10"/>
  <c r="J11"/>
  <c r="L11"/>
  <c r="K10"/>
  <c r="F8"/>
  <c r="F9"/>
  <c r="G8"/>
  <c r="G9"/>
  <c r="I8"/>
  <c r="I9"/>
  <c r="J8"/>
  <c r="J9"/>
  <c r="L9"/>
  <c r="K8"/>
  <c r="F6"/>
  <c r="F7"/>
  <c r="H6"/>
  <c r="H7"/>
  <c r="I6"/>
  <c r="I7"/>
  <c r="J6"/>
  <c r="J7"/>
  <c r="L7"/>
  <c r="K6"/>
  <c r="G4"/>
  <c r="G5"/>
  <c r="H4"/>
  <c r="H5"/>
  <c r="I4"/>
  <c r="I5"/>
  <c r="J4"/>
  <c r="J5"/>
  <c r="L5"/>
  <c r="K4"/>
  <c r="H25" i="15"/>
  <c r="C25"/>
  <c r="C10"/>
  <c r="H24"/>
  <c r="C24"/>
  <c r="H21"/>
  <c r="C21"/>
  <c r="H20"/>
  <c r="C20"/>
  <c r="H17"/>
  <c r="C17"/>
  <c r="H16"/>
  <c r="C16"/>
  <c r="F10"/>
  <c r="F11"/>
  <c r="G10"/>
  <c r="G11"/>
  <c r="H10"/>
  <c r="H11"/>
  <c r="K11"/>
  <c r="J10"/>
  <c r="F8"/>
  <c r="F9"/>
  <c r="G8"/>
  <c r="G9"/>
  <c r="I8"/>
  <c r="I9"/>
  <c r="K9"/>
  <c r="J8"/>
  <c r="F6"/>
  <c r="F7"/>
  <c r="H6"/>
  <c r="H7"/>
  <c r="I6"/>
  <c r="I7"/>
  <c r="K7"/>
  <c r="J6"/>
  <c r="G4"/>
  <c r="G5"/>
  <c r="H4"/>
  <c r="H5"/>
  <c r="I4"/>
  <c r="I5"/>
  <c r="K5"/>
  <c r="J4"/>
</calcChain>
</file>

<file path=xl/sharedStrings.xml><?xml version="1.0" encoding="utf-8"?>
<sst xmlns="http://schemas.openxmlformats.org/spreadsheetml/2006/main" count="220" uniqueCount="52">
  <si>
    <t>Команда</t>
  </si>
  <si>
    <t>победы</t>
  </si>
  <si>
    <t>доп</t>
  </si>
  <si>
    <t>место</t>
  </si>
  <si>
    <t/>
  </si>
  <si>
    <t>дор.</t>
  </si>
  <si>
    <t>Боулспорт (Попова К.,Степан, Хусам)</t>
  </si>
  <si>
    <t>Шарогоны (Илья, Герман, Нели)</t>
  </si>
  <si>
    <t>Чемпионы (Вика П., Асия, Катя)</t>
  </si>
  <si>
    <t>Тур 1</t>
  </si>
  <si>
    <t>Тур 2</t>
  </si>
  <si>
    <t>Тур 3</t>
  </si>
  <si>
    <t>Кубок С</t>
  </si>
  <si>
    <t>Петров-Прокофьева</t>
  </si>
  <si>
    <t>Федоров-Таратынова</t>
  </si>
  <si>
    <t>Попов-Ерасова</t>
  </si>
  <si>
    <t>Мельшаков-Тюрикова</t>
  </si>
  <si>
    <t>Майсов-Валуева</t>
  </si>
  <si>
    <t>Тур 4</t>
  </si>
  <si>
    <t>Тур 5</t>
  </si>
  <si>
    <t>Миронов Илья</t>
  </si>
  <si>
    <t>Попова Ксения</t>
  </si>
  <si>
    <t>Круковский Герман</t>
  </si>
  <si>
    <t>Прокофьева Катя</t>
  </si>
  <si>
    <t>Мирасахибу Асия</t>
  </si>
  <si>
    <t>Плавич Степан</t>
  </si>
  <si>
    <t>Попова Вика</t>
  </si>
  <si>
    <t>Тур 6</t>
  </si>
  <si>
    <t>Тур 7</t>
  </si>
  <si>
    <t>Группа А</t>
  </si>
  <si>
    <t>Анухин-Симутина</t>
  </si>
  <si>
    <t>Милехин-Милехина</t>
  </si>
  <si>
    <t>Прокофьев-Румянцева</t>
  </si>
  <si>
    <t>Плавич-Сеничкина</t>
  </si>
  <si>
    <t>Кацеро-Таратынова</t>
  </si>
  <si>
    <t>Шукуров-Стаханова</t>
  </si>
  <si>
    <t>Группа Б</t>
  </si>
  <si>
    <t>Капран-Корицкая</t>
  </si>
  <si>
    <t>Федоров Виктор Иванович</t>
  </si>
  <si>
    <t>Тула</t>
  </si>
  <si>
    <t>Круковский-Тен</t>
  </si>
  <si>
    <t xml:space="preserve"> </t>
  </si>
  <si>
    <t>Васин-Пахомова</t>
  </si>
  <si>
    <t>Петрова-Федоров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</si>
  <si>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</si>
  <si>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Анухин - Симутина</t>
  </si>
  <si>
    <t>Шабанов - Петрова</t>
  </si>
  <si>
    <t>Васин - Пахомова</t>
  </si>
  <si>
    <t>Прокофьев - Румянцева</t>
  </si>
  <si>
    <t>Капран-Корицская</t>
  </si>
  <si>
    <t>Милёхин-Милёхина</t>
  </si>
  <si>
    <t>Шабанов-Петрова</t>
  </si>
</sst>
</file>

<file path=xl/styles.xml><?xml version="1.0" encoding="utf-8"?>
<styleSheet xmlns="http://schemas.openxmlformats.org/spreadsheetml/2006/main">
  <numFmts count="4">
    <numFmt numFmtId="164" formatCode="\+##;\-##"/>
    <numFmt numFmtId="165" formatCode="\+##;\-##;0"/>
    <numFmt numFmtId="166" formatCode="dd\.mmm"/>
    <numFmt numFmtId="167" formatCode="dd\.mm\.yyyy"/>
  </numFmts>
  <fonts count="10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8"/>
      <color indexed="8"/>
      <name val="Calibri"/>
      <charset val="204"/>
    </font>
    <font>
      <sz val="16"/>
      <color indexed="8"/>
      <name val="Calibri"/>
      <charset val="204"/>
    </font>
    <font>
      <b/>
      <sz val="16"/>
      <color indexed="8"/>
      <name val="Calibri"/>
      <charset val="204"/>
    </font>
    <font>
      <sz val="11"/>
      <color indexed="9"/>
      <name val="Calibri"/>
      <charset val="204"/>
    </font>
    <font>
      <sz val="14"/>
      <color indexed="8"/>
      <name val="Calibri"/>
      <charset val="204"/>
    </font>
    <font>
      <b/>
      <sz val="36"/>
      <color indexed="8"/>
      <name val="Cambria"/>
      <charset val="204"/>
    </font>
    <font>
      <b/>
      <sz val="14"/>
      <color indexed="8"/>
      <name val="Calibri"/>
      <charset val="204"/>
    </font>
    <font>
      <sz val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/>
    <xf numFmtId="0" fontId="0" fillId="3" borderId="0" xfId="0" applyFill="1"/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32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0" fillId="0" borderId="35" xfId="0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50" zoomScaleNormal="50" workbookViewId="0">
      <selection activeCell="P14" sqref="P14:P15"/>
    </sheetView>
  </sheetViews>
  <sheetFormatPr defaultColWidth="9" defaultRowHeight="15"/>
  <cols>
    <col min="1" max="1" width="4" customWidth="1"/>
    <col min="2" max="12" width="10.28515625" customWidth="1"/>
    <col min="13" max="13" width="10.28515625" style="28" customWidth="1"/>
    <col min="14" max="15" width="10.28515625" customWidth="1"/>
  </cols>
  <sheetData>
    <row r="1" spans="1:16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M1"/>
    </row>
    <row r="2" spans="1:16">
      <c r="B2" t="s">
        <v>29</v>
      </c>
      <c r="M2"/>
    </row>
    <row r="3" spans="1:16" ht="30" customHeight="1">
      <c r="B3" s="1"/>
      <c r="C3" s="95" t="s">
        <v>0</v>
      </c>
      <c r="D3" s="96"/>
      <c r="E3" s="97"/>
      <c r="F3" s="2">
        <v>1</v>
      </c>
      <c r="G3" s="2">
        <v>2</v>
      </c>
      <c r="H3" s="2">
        <v>3</v>
      </c>
      <c r="I3" s="17">
        <v>4</v>
      </c>
      <c r="J3" s="17">
        <v>5</v>
      </c>
      <c r="K3" s="17">
        <v>6</v>
      </c>
      <c r="L3" s="17">
        <v>7</v>
      </c>
      <c r="M3" s="19">
        <v>8</v>
      </c>
      <c r="N3" s="18" t="s">
        <v>1</v>
      </c>
      <c r="O3" s="2" t="s">
        <v>2</v>
      </c>
      <c r="P3" s="19" t="s">
        <v>3</v>
      </c>
    </row>
    <row r="4" spans="1:16" ht="24" customHeight="1">
      <c r="A4" s="40"/>
      <c r="B4" s="98">
        <v>1</v>
      </c>
      <c r="C4" s="79" t="s">
        <v>30</v>
      </c>
      <c r="D4" s="80"/>
      <c r="E4" s="81"/>
      <c r="F4" s="3"/>
      <c r="G4" s="4" t="str">
        <f ca="1">INDIRECT(ADDRESS(33,6))&amp;":"&amp;INDIRECT(ADDRESS(33,7))</f>
        <v>11:5</v>
      </c>
      <c r="H4" s="4" t="str">
        <f ca="1">INDIRECT(ADDRESS(37,7))&amp;":"&amp;INDIRECT(ADDRESS(37,6))</f>
        <v>13:7</v>
      </c>
      <c r="I4" s="4" t="str">
        <f ca="1">INDIRECT(ADDRESS(44,6))&amp;":"&amp;INDIRECT(ADDRESS(44,7))</f>
        <v>7:13</v>
      </c>
      <c r="J4" s="4" t="str">
        <f ca="1">INDIRECT(ADDRESS(50,7))&amp;":"&amp;INDIRECT(ADDRESS(50,6))</f>
        <v>13:2</v>
      </c>
      <c r="K4" s="45" t="str">
        <f ca="1">INDIRECT(ADDRESS(55,6))&amp;":"&amp;INDIRECT(ADDRESS(55,7))</f>
        <v>13:4</v>
      </c>
      <c r="L4" s="45" t="str">
        <f ca="1">INDIRECT(ADDRESS(63,7))&amp;":"&amp;INDIRECT(ADDRESS(63,6))</f>
        <v>13:5</v>
      </c>
      <c r="M4" s="46" t="str">
        <f ca="1">INDIRECT(ADDRESS(24,6))&amp;":"&amp;INDIRECT(ADDRESS(24,7))</f>
        <v>:</v>
      </c>
      <c r="N4" s="78">
        <f ca="1">IF(COUNT(F5:M5)=0,"",COUNTIF(F5:M5,"&gt;0")+0.5*COUNTIF(F5:M5,0))</f>
        <v>5</v>
      </c>
      <c r="O4" s="21"/>
      <c r="P4" s="70">
        <v>1</v>
      </c>
    </row>
    <row r="5" spans="1:16" ht="24" customHeight="1">
      <c r="A5" s="40"/>
      <c r="B5" s="99"/>
      <c r="C5" s="67"/>
      <c r="D5" s="68"/>
      <c r="E5" s="69"/>
      <c r="F5" s="5"/>
      <c r="G5" s="6">
        <f ca="1">IF(LEN(INDIRECT(ADDRESS(ROW()-1,COLUMN())))=1,"",INDIRECT(ADDRESS(33,6))-INDIRECT(ADDRESS(33,7)))</f>
        <v>6</v>
      </c>
      <c r="H5" s="6">
        <f ca="1">IF(LEN(INDIRECT(ADDRESS(ROW()-1,COLUMN())))=1,"",INDIRECT(ADDRESS(37,7))-INDIRECT(ADDRESS(37,6)))</f>
        <v>6</v>
      </c>
      <c r="I5" s="6">
        <f ca="1">IF(LEN(INDIRECT(ADDRESS(ROW()-1,COLUMN())))=1,"",INDIRECT(ADDRESS(44,6))-INDIRECT(ADDRESS(44,7)))</f>
        <v>-6</v>
      </c>
      <c r="J5" s="6">
        <f ca="1">IF(LEN(INDIRECT(ADDRESS(ROW()-1,COLUMN())))=1,"",INDIRECT(ADDRESS(50,7))-INDIRECT(ADDRESS(50,6)))</f>
        <v>11</v>
      </c>
      <c r="K5" s="47">
        <f ca="1">IF(LEN(INDIRECT(ADDRESS(ROW()-1,COLUMN())))=1,"",INDIRECT(ADDRESS(55,6))-INDIRECT(ADDRESS(55,7)))</f>
        <v>9</v>
      </c>
      <c r="L5" s="47">
        <f ca="1">IF(LEN(INDIRECT(ADDRESS(ROW()-1,COLUMN())))=1,"",INDIRECT(ADDRESS(63,7))-INDIRECT(ADDRESS(63,6)))</f>
        <v>8</v>
      </c>
      <c r="M5" s="22" t="str">
        <f ca="1">IF(LEN(INDIRECT(ADDRESS(ROW()-1,COLUMN())))=1,"",INDIRECT(ADDRESS(24,6))-INDIRECT(ADDRESS(24,7)))</f>
        <v/>
      </c>
      <c r="N5" s="77"/>
      <c r="O5" s="6">
        <f ca="1">IF(COUNT(F5:M5)=0,"",SUM(F5:M5))</f>
        <v>34</v>
      </c>
      <c r="P5" s="71"/>
    </row>
    <row r="6" spans="1:16" ht="24" customHeight="1">
      <c r="A6" s="40"/>
      <c r="B6" s="100">
        <v>2</v>
      </c>
      <c r="C6" s="67" t="s">
        <v>17</v>
      </c>
      <c r="D6" s="68"/>
      <c r="E6" s="69"/>
      <c r="F6" s="7" t="str">
        <f ca="1">INDIRECT(ADDRESS(33,7))&amp;":"&amp;INDIRECT(ADDRESS(33,6))</f>
        <v>5:11</v>
      </c>
      <c r="G6" s="8"/>
      <c r="H6" s="9" t="str">
        <f ca="1">INDIRECT(ADDRESS(45,6))&amp;":"&amp;INDIRECT(ADDRESS(45,7))</f>
        <v>3:10</v>
      </c>
      <c r="I6" s="9" t="str">
        <f ca="1">INDIRECT(ADDRESS(49,7))&amp;":"&amp;INDIRECT(ADDRESS(49,6))</f>
        <v>9:6</v>
      </c>
      <c r="J6" s="9" t="str">
        <f ca="1">INDIRECT(ADDRESS(56,6))&amp;":"&amp;INDIRECT(ADDRESS(56,7))</f>
        <v>6:13</v>
      </c>
      <c r="K6" s="48" t="str">
        <f ca="1">INDIRECT(ADDRESS(62,7))&amp;":"&amp;INDIRECT(ADDRESS(62,6))</f>
        <v>13:6</v>
      </c>
      <c r="L6" s="48" t="str">
        <f ca="1">INDIRECT(ADDRESS(25,6))&amp;":"&amp;INDIRECT(ADDRESS(25,7))</f>
        <v>13:3</v>
      </c>
      <c r="M6" s="23" t="str">
        <f ca="1">INDIRECT(ADDRESS(36,6))&amp;":"&amp;INDIRECT(ADDRESS(36,7))</f>
        <v>:</v>
      </c>
      <c r="N6" s="77">
        <f ca="1">IF(COUNT(F7:M7)=0,"",COUNTIF(F7:M7,"&gt;0")+0.5*COUNTIF(F7:M7,0))</f>
        <v>3</v>
      </c>
      <c r="O6" s="6"/>
      <c r="P6" s="72">
        <v>5</v>
      </c>
    </row>
    <row r="7" spans="1:16" ht="24" customHeight="1">
      <c r="A7" s="40"/>
      <c r="B7" s="99"/>
      <c r="C7" s="67"/>
      <c r="D7" s="68"/>
      <c r="E7" s="69"/>
      <c r="F7" s="10">
        <f ca="1">IF(LEN(INDIRECT(ADDRESS(ROW()-1,COLUMN())))=1,"",INDIRECT(ADDRESS(33,7))-INDIRECT(ADDRESS(33,6)))</f>
        <v>-6</v>
      </c>
      <c r="G7" s="11"/>
      <c r="H7" s="6">
        <f ca="1">IF(LEN(INDIRECT(ADDRESS(ROW()-1,COLUMN())))=1,"",INDIRECT(ADDRESS(45,6))-INDIRECT(ADDRESS(45,7)))</f>
        <v>-7</v>
      </c>
      <c r="I7" s="6">
        <f ca="1">IF(LEN(INDIRECT(ADDRESS(ROW()-1,COLUMN())))=1,"",INDIRECT(ADDRESS(49,7))-INDIRECT(ADDRESS(49,6)))</f>
        <v>3</v>
      </c>
      <c r="J7" s="6">
        <f ca="1">IF(LEN(INDIRECT(ADDRESS(ROW()-1,COLUMN())))=1,"",INDIRECT(ADDRESS(56,6))-INDIRECT(ADDRESS(56,7)))</f>
        <v>-7</v>
      </c>
      <c r="K7" s="47">
        <f ca="1">IF(LEN(INDIRECT(ADDRESS(ROW()-1,COLUMN())))=1,"",INDIRECT(ADDRESS(62,7))-INDIRECT(ADDRESS(62,6)))</f>
        <v>7</v>
      </c>
      <c r="L7" s="47">
        <f ca="1">IF(LEN(INDIRECT(ADDRESS(ROW()-1,COLUMN())))=1,"",INDIRECT(ADDRESS(25,6))-INDIRECT(ADDRESS(25,7)))</f>
        <v>10</v>
      </c>
      <c r="M7" s="22" t="str">
        <f ca="1">IF(LEN(INDIRECT(ADDRESS(ROW()-1,COLUMN())))=1,"",INDIRECT(ADDRESS(36,6))-INDIRECT(ADDRESS(36,7)))</f>
        <v/>
      </c>
      <c r="N7" s="77"/>
      <c r="O7" s="6">
        <f ca="1">IF(COUNT(F7:M7)=0,"",SUM(F7:M7))</f>
        <v>0</v>
      </c>
      <c r="P7" s="73"/>
    </row>
    <row r="8" spans="1:16" ht="24" customHeight="1">
      <c r="A8" s="40"/>
      <c r="B8" s="100">
        <v>3</v>
      </c>
      <c r="C8" s="67" t="s">
        <v>31</v>
      </c>
      <c r="D8" s="68"/>
      <c r="E8" s="69"/>
      <c r="F8" s="7" t="str">
        <f ca="1">INDIRECT(ADDRESS(37,6))&amp;":"&amp;INDIRECT(ADDRESS(37,7))</f>
        <v>7:13</v>
      </c>
      <c r="G8" s="9" t="str">
        <f ca="1">INDIRECT(ADDRESS(45,7))&amp;":"&amp;INDIRECT(ADDRESS(45,6))</f>
        <v>10:3</v>
      </c>
      <c r="H8" s="8"/>
      <c r="I8" s="9" t="str">
        <f ca="1">INDIRECT(ADDRESS(57,6))&amp;":"&amp;INDIRECT(ADDRESS(57,7))</f>
        <v>10:12</v>
      </c>
      <c r="J8" s="9" t="str">
        <f ca="1">INDIRECT(ADDRESS(61,7))&amp;":"&amp;INDIRECT(ADDRESS(61,6))</f>
        <v>13:7</v>
      </c>
      <c r="K8" s="48" t="str">
        <f ca="1">INDIRECT(ADDRESS(26,6))&amp;":"&amp;INDIRECT(ADDRESS(26,7))</f>
        <v>7:6</v>
      </c>
      <c r="L8" s="48" t="str">
        <f ca="1">INDIRECT(ADDRESS(32,7))&amp;":"&amp;INDIRECT(ADDRESS(32,6))</f>
        <v>10:12</v>
      </c>
      <c r="M8" s="23" t="str">
        <f ca="1">INDIRECT(ADDRESS(48,6))&amp;":"&amp;INDIRECT(ADDRESS(48,7))</f>
        <v>:</v>
      </c>
      <c r="N8" s="77">
        <f ca="1">IF(COUNT(F9:M9)=0,"",COUNTIF(F9:M9,"&gt;0")+0.5*COUNTIF(F9:M9,0))</f>
        <v>3</v>
      </c>
      <c r="O8" s="6"/>
      <c r="P8" s="74">
        <v>4</v>
      </c>
    </row>
    <row r="9" spans="1:16" ht="24" customHeight="1">
      <c r="A9" s="40"/>
      <c r="B9" s="99"/>
      <c r="C9" s="67"/>
      <c r="D9" s="68"/>
      <c r="E9" s="69"/>
      <c r="F9" s="10">
        <f ca="1">IF(LEN(INDIRECT(ADDRESS(ROW()-1,COLUMN())))=1,"",INDIRECT(ADDRESS(37,6))-INDIRECT(ADDRESS(37,7)))</f>
        <v>-6</v>
      </c>
      <c r="G9" s="6">
        <f ca="1">IF(LEN(INDIRECT(ADDRESS(ROW()-1,COLUMN())))=1,"",INDIRECT(ADDRESS(45,7))-INDIRECT(ADDRESS(45,6)))</f>
        <v>7</v>
      </c>
      <c r="H9" s="11"/>
      <c r="I9" s="6">
        <f ca="1">IF(LEN(INDIRECT(ADDRESS(ROW()-1,COLUMN())))=1,"",INDIRECT(ADDRESS(57,6))-INDIRECT(ADDRESS(57,7)))</f>
        <v>-2</v>
      </c>
      <c r="J9" s="6">
        <f ca="1">IF(LEN(INDIRECT(ADDRESS(ROW()-1,COLUMN())))=1,"",INDIRECT(ADDRESS(61,7))-INDIRECT(ADDRESS(61,6)))</f>
        <v>6</v>
      </c>
      <c r="K9" s="47">
        <f ca="1">IF(LEN(INDIRECT(ADDRESS(ROW()-1,COLUMN())))=1,"",INDIRECT(ADDRESS(26,6))-INDIRECT(ADDRESS(26,7)))</f>
        <v>1</v>
      </c>
      <c r="L9" s="47">
        <f ca="1">IF(LEN(INDIRECT(ADDRESS(ROW()-1,COLUMN())))=1,"",INDIRECT(ADDRESS(32,7))-INDIRECT(ADDRESS(32,6)))</f>
        <v>-2</v>
      </c>
      <c r="M9" s="22" t="str">
        <f ca="1">IF(LEN(INDIRECT(ADDRESS(ROW()-1,COLUMN())))=1,"",INDIRECT(ADDRESS(48,6))-INDIRECT(ADDRESS(48,7)))</f>
        <v/>
      </c>
      <c r="N9" s="77"/>
      <c r="O9" s="6">
        <f ca="1">IF(COUNT(F9:M9)=0,"",SUM(F9:M9))</f>
        <v>4</v>
      </c>
      <c r="P9" s="71"/>
    </row>
    <row r="10" spans="1:16" ht="24" customHeight="1">
      <c r="A10" s="40"/>
      <c r="B10" s="100">
        <v>4</v>
      </c>
      <c r="C10" s="67" t="s">
        <v>32</v>
      </c>
      <c r="D10" s="68"/>
      <c r="E10" s="69"/>
      <c r="F10" s="7" t="str">
        <f ca="1">INDIRECT(ADDRESS(44,7))&amp;":"&amp;INDIRECT(ADDRESS(44,6))</f>
        <v>13:7</v>
      </c>
      <c r="G10" s="9" t="str">
        <f ca="1">INDIRECT(ADDRESS(49,6))&amp;":"&amp;INDIRECT(ADDRESS(49,7))</f>
        <v>6:9</v>
      </c>
      <c r="H10" s="9" t="str">
        <f ca="1">INDIRECT(ADDRESS(57,7))&amp;":"&amp;INDIRECT(ADDRESS(57,6))</f>
        <v>12:10</v>
      </c>
      <c r="I10" s="8"/>
      <c r="J10" s="9" t="str">
        <f ca="1">INDIRECT(ADDRESS(27,6))&amp;":"&amp;INDIRECT(ADDRESS(27,7))</f>
        <v>8:11</v>
      </c>
      <c r="K10" s="48" t="str">
        <f ca="1">INDIRECT(ADDRESS(31,7))&amp;":"&amp;INDIRECT(ADDRESS(31,6))</f>
        <v>13:0</v>
      </c>
      <c r="L10" s="48" t="str">
        <f ca="1">INDIRECT(ADDRESS(38,6))&amp;":"&amp;INDIRECT(ADDRESS(38,7))</f>
        <v>13:6</v>
      </c>
      <c r="M10" s="23" t="str">
        <f ca="1">INDIRECT(ADDRESS(60,6))&amp;":"&amp;INDIRECT(ADDRESS(60,7))</f>
        <v>:</v>
      </c>
      <c r="N10" s="77">
        <f ca="1">IF(COUNT(F11:M11)=0,"",COUNTIF(F11:M11,"&gt;0")+0.5*COUNTIF(F11:M11,0))</f>
        <v>4</v>
      </c>
      <c r="O10" s="6"/>
      <c r="P10" s="74">
        <v>3</v>
      </c>
    </row>
    <row r="11" spans="1:16" ht="24" customHeight="1">
      <c r="A11" s="40"/>
      <c r="B11" s="99"/>
      <c r="C11" s="67"/>
      <c r="D11" s="68"/>
      <c r="E11" s="69"/>
      <c r="F11" s="10">
        <f ca="1">IF(LEN(INDIRECT(ADDRESS(ROW()-1,COLUMN())))=1,"",INDIRECT(ADDRESS(44,7))-INDIRECT(ADDRESS(44,6)))</f>
        <v>6</v>
      </c>
      <c r="G11" s="6">
        <f ca="1">IF(LEN(INDIRECT(ADDRESS(ROW()-1,COLUMN())))=1,"",INDIRECT(ADDRESS(49,6))-INDIRECT(ADDRESS(49,7)))</f>
        <v>-3</v>
      </c>
      <c r="H11" s="6">
        <f ca="1">IF(LEN(INDIRECT(ADDRESS(ROW()-1,COLUMN())))=1,"",INDIRECT(ADDRESS(57,7))-INDIRECT(ADDRESS(57,6)))</f>
        <v>2</v>
      </c>
      <c r="I11" s="11"/>
      <c r="J11" s="6">
        <f ca="1">IF(LEN(INDIRECT(ADDRESS(ROW()-1,COLUMN())))=1,"",INDIRECT(ADDRESS(27,6))-INDIRECT(ADDRESS(27,7)))</f>
        <v>-3</v>
      </c>
      <c r="K11" s="47">
        <f ca="1">IF(LEN(INDIRECT(ADDRESS(ROW()-1,COLUMN())))=1,"",INDIRECT(ADDRESS(31,7))-INDIRECT(ADDRESS(31,6)))</f>
        <v>13</v>
      </c>
      <c r="L11" s="47">
        <f ca="1">IF(LEN(INDIRECT(ADDRESS(ROW()-1,COLUMN())))=1,"",INDIRECT(ADDRESS(38,6))-INDIRECT(ADDRESS(38,7)))</f>
        <v>7</v>
      </c>
      <c r="M11" s="22" t="str">
        <f ca="1">IF(LEN(INDIRECT(ADDRESS(ROW()-1,COLUMN())))=1,"",INDIRECT(ADDRESS(60,6))-INDIRECT(ADDRESS(60,7)))</f>
        <v/>
      </c>
      <c r="N11" s="77"/>
      <c r="O11" s="6">
        <f ca="1">IF(COUNT(F11:M11)=0,"",SUM(F11:M11))</f>
        <v>22</v>
      </c>
      <c r="P11" s="71"/>
    </row>
    <row r="12" spans="1:16" ht="24" customHeight="1">
      <c r="A12" s="40"/>
      <c r="B12" s="100">
        <v>5</v>
      </c>
      <c r="C12" s="67" t="s">
        <v>33</v>
      </c>
      <c r="D12" s="68"/>
      <c r="E12" s="69"/>
      <c r="F12" s="7" t="str">
        <f ca="1">INDIRECT(ADDRESS(50,6))&amp;":"&amp;INDIRECT(ADDRESS(50,7))</f>
        <v>2:13</v>
      </c>
      <c r="G12" s="9" t="str">
        <f ca="1">INDIRECT(ADDRESS(56,7))&amp;":"&amp;INDIRECT(ADDRESS(56,6))</f>
        <v>13:6</v>
      </c>
      <c r="H12" s="9" t="str">
        <f ca="1">INDIRECT(ADDRESS(61,6))&amp;":"&amp;INDIRECT(ADDRESS(61,7))</f>
        <v>7:13</v>
      </c>
      <c r="I12" s="9" t="str">
        <f ca="1">INDIRECT(ADDRESS(27,7))&amp;":"&amp;INDIRECT(ADDRESS(27,6))</f>
        <v>11:8</v>
      </c>
      <c r="J12" s="8"/>
      <c r="K12" s="48" t="str">
        <f ca="1">INDIRECT(ADDRESS(39,6))&amp;":"&amp;INDIRECT(ADDRESS(39,7))</f>
        <v>13:6</v>
      </c>
      <c r="L12" s="48" t="str">
        <f ca="1">INDIRECT(ADDRESS(43,7))&amp;":"&amp;INDIRECT(ADDRESS(43,6))</f>
        <v>13:3</v>
      </c>
      <c r="M12" s="23" t="str">
        <f ca="1">INDIRECT(ADDRESS(30,7))&amp;":"&amp;INDIRECT(ADDRESS(30,6))</f>
        <v>:</v>
      </c>
      <c r="N12" s="77">
        <f ca="1">IF(COUNT(F13:M13)=0,"",COUNTIF(F13:M13,"&gt;0")+0.5*COUNTIF(F13:M13,0))</f>
        <v>4</v>
      </c>
      <c r="O12" s="6"/>
      <c r="P12" s="74">
        <v>2</v>
      </c>
    </row>
    <row r="13" spans="1:16" ht="24" customHeight="1">
      <c r="A13" s="40"/>
      <c r="B13" s="99"/>
      <c r="C13" s="67"/>
      <c r="D13" s="68"/>
      <c r="E13" s="69"/>
      <c r="F13" s="10">
        <f ca="1">IF(LEN(INDIRECT(ADDRESS(ROW()-1,COLUMN())))=1,"",INDIRECT(ADDRESS(50,6))-INDIRECT(ADDRESS(50,7)))</f>
        <v>-11</v>
      </c>
      <c r="G13" s="6">
        <f ca="1">IF(LEN(INDIRECT(ADDRESS(ROW()-1,COLUMN())))=1,"",INDIRECT(ADDRESS(56,7))-INDIRECT(ADDRESS(56,6)))</f>
        <v>7</v>
      </c>
      <c r="H13" s="6">
        <f ca="1">IF(LEN(INDIRECT(ADDRESS(ROW()-1,COLUMN())))=1,"",INDIRECT(ADDRESS(61,6))-INDIRECT(ADDRESS(61,7)))</f>
        <v>-6</v>
      </c>
      <c r="I13" s="6">
        <f ca="1">IF(LEN(INDIRECT(ADDRESS(ROW()-1,COLUMN())))=1,"",INDIRECT(ADDRESS(27,7))-INDIRECT(ADDRESS(27,6)))</f>
        <v>3</v>
      </c>
      <c r="J13" s="11"/>
      <c r="K13" s="47">
        <f ca="1">IF(LEN(INDIRECT(ADDRESS(ROW()-1,COLUMN())))=1,"",INDIRECT(ADDRESS(39,6))-INDIRECT(ADDRESS(39,7)))</f>
        <v>7</v>
      </c>
      <c r="L13" s="47">
        <f ca="1">IF(LEN(INDIRECT(ADDRESS(ROW()-1,COLUMN())))=1,"",INDIRECT(ADDRESS(43,7))-INDIRECT(ADDRESS(43,6)))</f>
        <v>10</v>
      </c>
      <c r="M13" s="22" t="str">
        <f ca="1">IF(LEN(INDIRECT(ADDRESS(ROW()-1,COLUMN())))=1,"",INDIRECT(ADDRESS(30,7))-INDIRECT(ADDRESS(30,6)))</f>
        <v/>
      </c>
      <c r="N13" s="77"/>
      <c r="O13" s="6">
        <f ca="1">IF(COUNT(F13:M13)=0,"",SUM(F13:M13))</f>
        <v>10</v>
      </c>
      <c r="P13" s="71"/>
    </row>
    <row r="14" spans="1:16" ht="24" customHeight="1">
      <c r="A14" s="40"/>
      <c r="B14" s="100">
        <v>6</v>
      </c>
      <c r="C14" s="67" t="s">
        <v>34</v>
      </c>
      <c r="D14" s="68"/>
      <c r="E14" s="69"/>
      <c r="F14" s="7" t="str">
        <f ca="1">INDIRECT(ADDRESS(55,7))&amp;":"&amp;INDIRECT(ADDRESS(55,6))</f>
        <v>4:13</v>
      </c>
      <c r="G14" s="9" t="str">
        <f ca="1">INDIRECT(ADDRESS(62,6))&amp;":"&amp;INDIRECT(ADDRESS(62,7))</f>
        <v>6:13</v>
      </c>
      <c r="H14" s="9" t="str">
        <f ca="1">INDIRECT(ADDRESS(26,7))&amp;":"&amp;INDIRECT(ADDRESS(26,6))</f>
        <v>6:7</v>
      </c>
      <c r="I14" s="9" t="str">
        <f ca="1">INDIRECT(ADDRESS(31,6))&amp;":"&amp;INDIRECT(ADDRESS(31,7))</f>
        <v>0:13</v>
      </c>
      <c r="J14" s="9" t="str">
        <f ca="1">INDIRECT(ADDRESS(39,7))&amp;":"&amp;INDIRECT(ADDRESS(39,6))</f>
        <v>6:13</v>
      </c>
      <c r="K14" s="49"/>
      <c r="L14" s="50" t="str">
        <f ca="1">INDIRECT(ADDRESS(51,6))&amp;":"&amp;INDIRECT(ADDRESS(51,7))</f>
        <v>3:13</v>
      </c>
      <c r="M14" s="51" t="str">
        <f ca="1">INDIRECT(ADDRESS(42,7))&amp;":"&amp;INDIRECT(ADDRESS(42,6))</f>
        <v>:</v>
      </c>
      <c r="N14" s="77">
        <f ca="1">IF(COUNT(F15:M15)=0,"",COUNTIF(F15:M15,"&gt;0")+0.5*COUNTIF(F15:M15,0))</f>
        <v>0</v>
      </c>
      <c r="O14" s="6"/>
      <c r="P14" s="72">
        <v>7</v>
      </c>
    </row>
    <row r="15" spans="1:16" ht="24" customHeight="1">
      <c r="A15" s="40"/>
      <c r="B15" s="99"/>
      <c r="C15" s="67"/>
      <c r="D15" s="68"/>
      <c r="E15" s="69"/>
      <c r="F15" s="10">
        <f ca="1">IF(LEN(INDIRECT(ADDRESS(ROW()-1,COLUMN())))=1,"",INDIRECT(ADDRESS(55,7))-INDIRECT(ADDRESS(55,6)))</f>
        <v>-9</v>
      </c>
      <c r="G15" s="6">
        <f ca="1">IF(LEN(INDIRECT(ADDRESS(ROW()-1,COLUMN())))=1,"",INDIRECT(ADDRESS(62,6))-INDIRECT(ADDRESS(62,7)))</f>
        <v>-7</v>
      </c>
      <c r="H15" s="6">
        <f ca="1">IF(LEN(INDIRECT(ADDRESS(ROW()-1,COLUMN())))=1,"",INDIRECT(ADDRESS(26,7))-INDIRECT(ADDRESS(26,6)))</f>
        <v>-1</v>
      </c>
      <c r="I15" s="6">
        <f ca="1">IF(LEN(INDIRECT(ADDRESS(ROW()-1,COLUMN())))=1,"",INDIRECT(ADDRESS(31,6))-INDIRECT(ADDRESS(31,7)))</f>
        <v>-13</v>
      </c>
      <c r="J15" s="6">
        <f ca="1">IF(LEN(INDIRECT(ADDRESS(ROW()-1,COLUMN())))=1,"",INDIRECT(ADDRESS(39,7))-INDIRECT(ADDRESS(39,6)))</f>
        <v>-7</v>
      </c>
      <c r="K15" s="52"/>
      <c r="L15" s="53">
        <f ca="1">IF(LEN(INDIRECT(ADDRESS(ROW()-1,COLUMN())))=1,"",INDIRECT(ADDRESS(51,6))-INDIRECT(ADDRESS(51,7)))</f>
        <v>-10</v>
      </c>
      <c r="M15" s="54" t="str">
        <f ca="1">IF(LEN(INDIRECT(ADDRESS(ROW()-1,COLUMN())))=1,"",INDIRECT(ADDRESS(42,7))-INDIRECT(ADDRESS(42,6)))</f>
        <v/>
      </c>
      <c r="N15" s="77"/>
      <c r="O15" s="6">
        <f ca="1">IF(COUNT(F15:M15)=0,"",SUM(F15:M15))</f>
        <v>-47</v>
      </c>
      <c r="P15" s="73"/>
    </row>
    <row r="16" spans="1:16" ht="24" customHeight="1">
      <c r="A16" s="40"/>
      <c r="B16" s="105">
        <v>7</v>
      </c>
      <c r="C16" s="88" t="s">
        <v>35</v>
      </c>
      <c r="D16" s="89"/>
      <c r="E16" s="90"/>
      <c r="F16" s="41" t="str">
        <f ca="1">INDIRECT(ADDRESS(63,6))&amp;":"&amp;INDIRECT(ADDRESS(63,7))</f>
        <v>5:13</v>
      </c>
      <c r="G16" s="42" t="str">
        <f ca="1">INDIRECT(ADDRESS(25,7))&amp;":"&amp;INDIRECT(ADDRESS(25,6))</f>
        <v>3:13</v>
      </c>
      <c r="H16" s="42" t="str">
        <f ca="1">INDIRECT(ADDRESS(32,6))&amp;":"&amp;INDIRECT(ADDRESS(32,7))</f>
        <v>12:10</v>
      </c>
      <c r="I16" s="42" t="str">
        <f ca="1">INDIRECT(ADDRESS(38,7))&amp;":"&amp;INDIRECT(ADDRESS(38,6))</f>
        <v>6:13</v>
      </c>
      <c r="J16" s="42" t="str">
        <f ca="1">INDIRECT(ADDRESS(43,6))&amp;":"&amp;INDIRECT(ADDRESS(43,7))</f>
        <v>3:13</v>
      </c>
      <c r="K16" s="55" t="str">
        <f ca="1">INDIRECT(ADDRESS(51,7))&amp;":"&amp;INDIRECT(ADDRESS(51,6))</f>
        <v>13:3</v>
      </c>
      <c r="L16" s="56"/>
      <c r="M16" s="57" t="str">
        <f ca="1">INDIRECT(ADDRESS(54,7))&amp;":"&amp;INDIRECT(ADDRESS(54,6))</f>
        <v>:</v>
      </c>
      <c r="N16" s="77">
        <f ca="1">IF(COUNT(F17:M17)=0,"",COUNTIF(F17:M17,"&gt;0")+0.5*COUNTIF(F17:M17,0))</f>
        <v>2</v>
      </c>
      <c r="O16" s="58"/>
      <c r="P16" s="83">
        <v>6</v>
      </c>
    </row>
    <row r="17" spans="1:16" ht="24" customHeight="1">
      <c r="A17" s="40"/>
      <c r="B17" s="105"/>
      <c r="C17" s="91"/>
      <c r="D17" s="92"/>
      <c r="E17" s="93"/>
      <c r="F17" s="43">
        <f ca="1">IF(LEN(INDIRECT(ADDRESS(ROW()-1,COLUMN())))=1,"",INDIRECT(ADDRESS(63,6))-INDIRECT(ADDRESS(63,7)))</f>
        <v>-8</v>
      </c>
      <c r="G17" s="44">
        <f ca="1">IF(LEN(INDIRECT(ADDRESS(ROW()-1,COLUMN())))=1,"",INDIRECT(ADDRESS(25,7))-INDIRECT(ADDRESS(25,6)))</f>
        <v>-10</v>
      </c>
      <c r="H17" s="44">
        <f ca="1">IF(LEN(INDIRECT(ADDRESS(ROW()-1,COLUMN())))=1,"",INDIRECT(ADDRESS(32,6))-INDIRECT(ADDRESS(32,7)))</f>
        <v>2</v>
      </c>
      <c r="I17" s="44">
        <f ca="1">IF(LEN(INDIRECT(ADDRESS(ROW()-1,COLUMN())))=1,"",INDIRECT(ADDRESS(38,7))-INDIRECT(ADDRESS(38,6)))</f>
        <v>-7</v>
      </c>
      <c r="J17" s="44">
        <f ca="1">IF(LEN(INDIRECT(ADDRESS(ROW()-1,COLUMN())))=1,"",INDIRECT(ADDRESS(43,6))-INDIRECT(ADDRESS(43,7)))</f>
        <v>-10</v>
      </c>
      <c r="K17" s="59">
        <f ca="1">IF(LEN(INDIRECT(ADDRESS(ROW()-1,COLUMN())))=1,"",INDIRECT(ADDRESS(51,7))-INDIRECT(ADDRESS(51,6)))</f>
        <v>10</v>
      </c>
      <c r="L17" s="60"/>
      <c r="M17" s="61" t="str">
        <f ca="1">IF(LEN(INDIRECT(ADDRESS(ROW()-1,COLUMN())))=1,"",INDIRECT(ADDRESS(54,7))-INDIRECT(ADDRESS(54,6)))</f>
        <v/>
      </c>
      <c r="N17" s="85"/>
      <c r="O17" s="44">
        <f ca="1">IF(COUNT(F17:M17)=0,"",SUM(F17:M17))</f>
        <v>-23</v>
      </c>
      <c r="P17" s="83"/>
    </row>
    <row r="18" spans="1:16" ht="24" customHeight="1">
      <c r="A18" s="40"/>
      <c r="B18" s="100">
        <v>8</v>
      </c>
      <c r="C18" s="67" t="e">
        <f>#VALUE!</f>
        <v>#VALUE!</v>
      </c>
      <c r="D18" s="68"/>
      <c r="E18" s="69"/>
      <c r="F18" s="7" t="str">
        <f ca="1">INDIRECT(ADDRESS(24,7))&amp;":"&amp;INDIRECT(ADDRESS(24,6))</f>
        <v>:</v>
      </c>
      <c r="G18" s="9" t="str">
        <f ca="1">INDIRECT(ADDRESS(36,7))&amp;":"&amp;INDIRECT(ADDRESS(36,6))</f>
        <v>:</v>
      </c>
      <c r="H18" s="9" t="str">
        <f ca="1">INDIRECT(ADDRESS(48,7))&amp;":"&amp;INDIRECT(ADDRESS(48,6))</f>
        <v>:</v>
      </c>
      <c r="I18" s="9" t="str">
        <f ca="1">INDIRECT(ADDRESS(60,7))&amp;":"&amp;INDIRECT(ADDRESS(60,6))</f>
        <v>:</v>
      </c>
      <c r="J18" s="9" t="str">
        <f ca="1">INDIRECT(ADDRESS(30,6))&amp;":"&amp;INDIRECT(ADDRESS(30,7))</f>
        <v>:</v>
      </c>
      <c r="K18" s="50" t="str">
        <f ca="1">INDIRECT(ADDRESS(42,6))&amp;":"&amp;INDIRECT(ADDRESS(42,7))</f>
        <v>:</v>
      </c>
      <c r="L18" s="50" t="str">
        <f ca="1">INDIRECT(ADDRESS(54,6))&amp;":"&amp;INDIRECT(ADDRESS(54,7))</f>
        <v>:</v>
      </c>
      <c r="M18" s="24"/>
      <c r="N18" s="77" t="str">
        <f ca="1">IF(COUNT(F19:M19)=0,"",COUNTIF(F19:M19,"&gt;0")+0.5*COUNTIF(F19:M19,0))</f>
        <v/>
      </c>
      <c r="O18" s="6"/>
      <c r="P18" s="74"/>
    </row>
    <row r="19" spans="1:16" ht="24" customHeight="1">
      <c r="A19" s="40"/>
      <c r="B19" s="101"/>
      <c r="C19" s="102"/>
      <c r="D19" s="103"/>
      <c r="E19" s="104"/>
      <c r="F19" s="12" t="str">
        <f ca="1">IF(LEN(INDIRECT(ADDRESS(ROW()-1,COLUMN())))=1,"",INDIRECT(ADDRESS(24,7))-INDIRECT(ADDRESS(24,6)))</f>
        <v/>
      </c>
      <c r="G19" s="13" t="str">
        <f ca="1">IF(LEN(INDIRECT(ADDRESS(ROW()-1,COLUMN())))=1,"",INDIRECT(ADDRESS(36,7))-INDIRECT(ADDRESS(36,6)))</f>
        <v/>
      </c>
      <c r="H19" s="13" t="str">
        <f ca="1">IF(LEN(INDIRECT(ADDRESS(ROW()-1,COLUMN())))=1,"",INDIRECT(ADDRESS(48,7))-INDIRECT(ADDRESS(48,6)))</f>
        <v/>
      </c>
      <c r="I19" s="13" t="str">
        <f ca="1">IF(LEN(INDIRECT(ADDRESS(ROW()-1,COLUMN())))=1,"",INDIRECT(ADDRESS(60,7))-INDIRECT(ADDRESS(60,6)))</f>
        <v/>
      </c>
      <c r="J19" s="13" t="str">
        <f ca="1">IF(LEN(INDIRECT(ADDRESS(ROW()-1,COLUMN())))=1,"",INDIRECT(ADDRESS(30,6))-INDIRECT(ADDRESS(30,7)))</f>
        <v/>
      </c>
      <c r="K19" s="62" t="str">
        <f ca="1">IF(LEN(INDIRECT(ADDRESS(ROW()-1,COLUMN())))=1,"",INDIRECT(ADDRESS(42,6))-INDIRECT(ADDRESS(42,7)))</f>
        <v/>
      </c>
      <c r="L19" s="62" t="str">
        <f ca="1">IF(LEN(INDIRECT(ADDRESS(ROW()-1,COLUMN())))=1,"",INDIRECT(ADDRESS(54,6))-INDIRECT(ADDRESS(54,7)))</f>
        <v/>
      </c>
      <c r="M19" s="25"/>
      <c r="N19" s="86"/>
      <c r="O19" s="13" t="str">
        <f ca="1">IF(COUNT(F19:M19)=0,"",SUM(F19:M19))</f>
        <v/>
      </c>
      <c r="P19" s="84"/>
    </row>
    <row r="20" spans="1:16">
      <c r="M20"/>
    </row>
    <row r="21" spans="1:16">
      <c r="M21"/>
    </row>
    <row r="22" spans="1:16">
      <c r="M22"/>
    </row>
    <row r="23" spans="1:16" ht="30" customHeight="1"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M23"/>
    </row>
    <row r="24" spans="1:16" ht="30" customHeight="1">
      <c r="B24" s="40">
        <v>1</v>
      </c>
      <c r="C24" s="75" t="str">
        <f ca="1">IF(ISBLANK(INDIRECT(ADDRESS(B24*2+2,3))),"",INDIRECT(ADDRESS(B24*2+2,3)))</f>
        <v>Анухин-Симутина</v>
      </c>
      <c r="D24" s="75"/>
      <c r="E24" s="76"/>
      <c r="F24" s="15"/>
      <c r="G24" s="16"/>
      <c r="H24" s="82" t="e">
        <f ca="1">IF(ISBLANK(INDIRECT(ADDRESS(K24*2+2,3))),"",INDIRECT(ADDRESS(K24*2+2,3)))</f>
        <v>#VALUE!</v>
      </c>
      <c r="I24" s="75"/>
      <c r="J24" s="75"/>
      <c r="K24" s="40">
        <v>8</v>
      </c>
      <c r="L24" s="26" t="s">
        <v>5</v>
      </c>
      <c r="M24" s="27"/>
    </row>
    <row r="25" spans="1:16" ht="30" customHeight="1">
      <c r="B25" s="40">
        <v>2</v>
      </c>
      <c r="C25" s="75" t="str">
        <f ca="1">IF(ISBLANK(INDIRECT(ADDRESS(B25*2+2,3))),"",INDIRECT(ADDRESS(B25*2+2,3)))</f>
        <v>Майсов-Валуева</v>
      </c>
      <c r="D25" s="75"/>
      <c r="E25" s="76"/>
      <c r="F25" s="15">
        <v>13</v>
      </c>
      <c r="G25" s="16">
        <v>3</v>
      </c>
      <c r="H25" s="82" t="str">
        <f ca="1">IF(ISBLANK(INDIRECT(ADDRESS(K25*2+2,3))),"",INDIRECT(ADDRESS(K25*2+2,3)))</f>
        <v>Шукуров-Стаханова</v>
      </c>
      <c r="I25" s="75"/>
      <c r="J25" s="75"/>
      <c r="K25" s="40">
        <v>7</v>
      </c>
      <c r="L25" s="26" t="s">
        <v>5</v>
      </c>
      <c r="M25" s="27">
        <v>1</v>
      </c>
    </row>
    <row r="26" spans="1:16" ht="30" customHeight="1">
      <c r="B26" s="40">
        <v>3</v>
      </c>
      <c r="C26" s="75" t="str">
        <f ca="1">IF(ISBLANK(INDIRECT(ADDRESS(B26*2+2,3))),"",INDIRECT(ADDRESS(B26*2+2,3)))</f>
        <v>Милехин-Милехина</v>
      </c>
      <c r="D26" s="75"/>
      <c r="E26" s="76"/>
      <c r="F26" s="15">
        <v>7</v>
      </c>
      <c r="G26" s="16">
        <v>6</v>
      </c>
      <c r="H26" s="82" t="str">
        <f ca="1">IF(ISBLANK(INDIRECT(ADDRESS(K26*2+2,3))),"",INDIRECT(ADDRESS(K26*2+2,3)))</f>
        <v>Кацеро-Таратынова</v>
      </c>
      <c r="I26" s="75"/>
      <c r="J26" s="75"/>
      <c r="K26" s="40">
        <v>6</v>
      </c>
      <c r="L26" s="26" t="s">
        <v>5</v>
      </c>
      <c r="M26" s="27">
        <v>2</v>
      </c>
    </row>
    <row r="27" spans="1:16" ht="30" customHeight="1">
      <c r="B27" s="40">
        <v>4</v>
      </c>
      <c r="C27" s="75" t="str">
        <f ca="1">IF(ISBLANK(INDIRECT(ADDRESS(B27*2+2,3))),"",INDIRECT(ADDRESS(B27*2+2,3)))</f>
        <v>Прокофьев-Румянцева</v>
      </c>
      <c r="D27" s="75"/>
      <c r="E27" s="76"/>
      <c r="F27" s="15">
        <v>8</v>
      </c>
      <c r="G27" s="16">
        <v>11</v>
      </c>
      <c r="H27" s="82" t="str">
        <f ca="1">IF(ISBLANK(INDIRECT(ADDRESS(K27*2+2,3))),"",INDIRECT(ADDRESS(K27*2+2,3)))</f>
        <v>Плавич-Сеничкина</v>
      </c>
      <c r="I27" s="75"/>
      <c r="J27" s="75"/>
      <c r="K27" s="40">
        <v>5</v>
      </c>
      <c r="L27" s="26" t="s">
        <v>5</v>
      </c>
      <c r="M27" s="27">
        <v>3</v>
      </c>
    </row>
    <row r="28" spans="1:16" ht="30" customHeight="1"/>
    <row r="29" spans="1:16" ht="30" customHeight="1">
      <c r="B29" s="87" t="s">
        <v>10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6" ht="30" customHeight="1">
      <c r="B30" s="40">
        <v>8</v>
      </c>
      <c r="C30" s="75" t="e">
        <f ca="1">IF(ISBLANK(INDIRECT(ADDRESS(B30*2+2,3))),"",INDIRECT(ADDRESS(B30*2+2,3)))</f>
        <v>#VALUE!</v>
      </c>
      <c r="D30" s="75"/>
      <c r="E30" s="76"/>
      <c r="F30" s="15"/>
      <c r="G30" s="16"/>
      <c r="H30" s="82" t="str">
        <f ca="1">IF(ISBLANK(INDIRECT(ADDRESS(K30*2+2,3))),"",INDIRECT(ADDRESS(K30*2+2,3)))</f>
        <v>Плавич-Сеничкина</v>
      </c>
      <c r="I30" s="75"/>
      <c r="J30" s="75"/>
      <c r="K30" s="40">
        <v>5</v>
      </c>
      <c r="L30" s="26" t="s">
        <v>5</v>
      </c>
      <c r="M30" s="27"/>
    </row>
    <row r="31" spans="1:16" ht="30" customHeight="1">
      <c r="B31" s="40">
        <v>6</v>
      </c>
      <c r="C31" s="75" t="str">
        <f ca="1">IF(ISBLANK(INDIRECT(ADDRESS(B31*2+2,3))),"",INDIRECT(ADDRESS(B31*2+2,3)))</f>
        <v>Кацеро-Таратынова</v>
      </c>
      <c r="D31" s="75"/>
      <c r="E31" s="76"/>
      <c r="F31" s="15">
        <v>0</v>
      </c>
      <c r="G31" s="16">
        <v>13</v>
      </c>
      <c r="H31" s="82" t="str">
        <f ca="1">IF(ISBLANK(INDIRECT(ADDRESS(K31*2+2,3))),"",INDIRECT(ADDRESS(K31*2+2,3)))</f>
        <v>Прокофьев-Румянцева</v>
      </c>
      <c r="I31" s="75"/>
      <c r="J31" s="75"/>
      <c r="K31" s="40">
        <v>4</v>
      </c>
      <c r="L31" s="26" t="s">
        <v>5</v>
      </c>
      <c r="M31" s="27">
        <v>2</v>
      </c>
    </row>
    <row r="32" spans="1:16" ht="30" customHeight="1">
      <c r="B32" s="40">
        <v>7</v>
      </c>
      <c r="C32" s="75" t="str">
        <f ca="1">IF(ISBLANK(INDIRECT(ADDRESS(B32*2+2,3))),"",INDIRECT(ADDRESS(B32*2+2,3)))</f>
        <v>Шукуров-Стаханова</v>
      </c>
      <c r="D32" s="75"/>
      <c r="E32" s="76"/>
      <c r="F32" s="15">
        <v>12</v>
      </c>
      <c r="G32" s="16">
        <v>10</v>
      </c>
      <c r="H32" s="82" t="str">
        <f ca="1">IF(ISBLANK(INDIRECT(ADDRESS(K32*2+2,3))),"",INDIRECT(ADDRESS(K32*2+2,3)))</f>
        <v>Милехин-Милехина</v>
      </c>
      <c r="I32" s="75"/>
      <c r="J32" s="75"/>
      <c r="K32" s="40">
        <v>3</v>
      </c>
      <c r="L32" s="26" t="s">
        <v>5</v>
      </c>
      <c r="M32" s="27">
        <v>3</v>
      </c>
    </row>
    <row r="33" spans="2:13" ht="30" customHeight="1">
      <c r="B33" s="40">
        <v>1</v>
      </c>
      <c r="C33" s="75" t="str">
        <f ca="1">IF(ISBLANK(INDIRECT(ADDRESS(B33*2+2,3))),"",INDIRECT(ADDRESS(B33*2+2,3)))</f>
        <v>Анухин-Симутина</v>
      </c>
      <c r="D33" s="75"/>
      <c r="E33" s="76"/>
      <c r="F33" s="15">
        <v>11</v>
      </c>
      <c r="G33" s="16">
        <v>5</v>
      </c>
      <c r="H33" s="82" t="str">
        <f ca="1">IF(ISBLANK(INDIRECT(ADDRESS(K33*2+2,3))),"",INDIRECT(ADDRESS(K33*2+2,3)))</f>
        <v>Майсов-Валуева</v>
      </c>
      <c r="I33" s="75"/>
      <c r="J33" s="75"/>
      <c r="K33" s="40">
        <v>2</v>
      </c>
      <c r="L33" s="26" t="s">
        <v>5</v>
      </c>
      <c r="M33" s="27">
        <v>4</v>
      </c>
    </row>
    <row r="34" spans="2:13" ht="30" customHeight="1"/>
    <row r="35" spans="2:13" ht="30" customHeight="1">
      <c r="B35" s="87" t="s">
        <v>11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2:13" ht="30" customHeight="1">
      <c r="B36" s="40">
        <v>2</v>
      </c>
      <c r="C36" s="75" t="str">
        <f ca="1">IF(ISBLANK(INDIRECT(ADDRESS(B36*2+2,3))),"",INDIRECT(ADDRESS(B36*2+2,3)))</f>
        <v>Майсов-Валуева</v>
      </c>
      <c r="D36" s="75"/>
      <c r="E36" s="76"/>
      <c r="F36" s="15"/>
      <c r="G36" s="16"/>
      <c r="H36" s="82" t="e">
        <f ca="1">IF(ISBLANK(INDIRECT(ADDRESS(K36*2+2,3))),"",INDIRECT(ADDRESS(K36*2+2,3)))</f>
        <v>#VALUE!</v>
      </c>
      <c r="I36" s="75"/>
      <c r="J36" s="75"/>
      <c r="K36" s="40">
        <v>8</v>
      </c>
      <c r="L36" s="26" t="s">
        <v>5</v>
      </c>
      <c r="M36" s="27"/>
    </row>
    <row r="37" spans="2:13" ht="30" customHeight="1">
      <c r="B37" s="40">
        <v>3</v>
      </c>
      <c r="C37" s="75" t="str">
        <f ca="1">IF(ISBLANK(INDIRECT(ADDRESS(B37*2+2,3))),"",INDIRECT(ADDRESS(B37*2+2,3)))</f>
        <v>Милехин-Милехина</v>
      </c>
      <c r="D37" s="75"/>
      <c r="E37" s="76"/>
      <c r="F37" s="15">
        <v>7</v>
      </c>
      <c r="G37" s="16">
        <v>13</v>
      </c>
      <c r="H37" s="82" t="str">
        <f ca="1">IF(ISBLANK(INDIRECT(ADDRESS(K37*2+2,3))),"",INDIRECT(ADDRESS(K37*2+2,3)))</f>
        <v>Анухин-Симутина</v>
      </c>
      <c r="I37" s="75"/>
      <c r="J37" s="75"/>
      <c r="K37" s="40">
        <v>1</v>
      </c>
      <c r="L37" s="26" t="s">
        <v>5</v>
      </c>
      <c r="M37" s="27">
        <v>3</v>
      </c>
    </row>
    <row r="38" spans="2:13" ht="30" customHeight="1">
      <c r="B38" s="40">
        <v>4</v>
      </c>
      <c r="C38" s="75" t="str">
        <f ca="1">IF(ISBLANK(INDIRECT(ADDRESS(B38*2+2,3))),"",INDIRECT(ADDRESS(B38*2+2,3)))</f>
        <v>Прокофьев-Румянцева</v>
      </c>
      <c r="D38" s="75"/>
      <c r="E38" s="76"/>
      <c r="F38" s="15">
        <v>13</v>
      </c>
      <c r="G38" s="16">
        <v>6</v>
      </c>
      <c r="H38" s="82" t="str">
        <f ca="1">IF(ISBLANK(INDIRECT(ADDRESS(K38*2+2,3))),"",INDIRECT(ADDRESS(K38*2+2,3)))</f>
        <v>Шукуров-Стаханова</v>
      </c>
      <c r="I38" s="75"/>
      <c r="J38" s="75"/>
      <c r="K38" s="40">
        <v>7</v>
      </c>
      <c r="L38" s="26" t="s">
        <v>5</v>
      </c>
      <c r="M38" s="27">
        <v>4</v>
      </c>
    </row>
    <row r="39" spans="2:13" ht="30" customHeight="1">
      <c r="B39" s="40">
        <v>5</v>
      </c>
      <c r="C39" s="75" t="str">
        <f ca="1">IF(ISBLANK(INDIRECT(ADDRESS(B39*2+2,3))),"",INDIRECT(ADDRESS(B39*2+2,3)))</f>
        <v>Плавич-Сеничкина</v>
      </c>
      <c r="D39" s="75"/>
      <c r="E39" s="76"/>
      <c r="F39" s="15">
        <v>13</v>
      </c>
      <c r="G39" s="16">
        <v>6</v>
      </c>
      <c r="H39" s="82" t="str">
        <f ca="1">IF(ISBLANK(INDIRECT(ADDRESS(K39*2+2,3))),"",INDIRECT(ADDRESS(K39*2+2,3)))</f>
        <v>Кацеро-Таратынова</v>
      </c>
      <c r="I39" s="75"/>
      <c r="J39" s="75"/>
      <c r="K39" s="40">
        <v>6</v>
      </c>
      <c r="L39" s="26" t="s">
        <v>5</v>
      </c>
      <c r="M39" s="27">
        <v>5</v>
      </c>
    </row>
    <row r="40" spans="2:13" ht="30" customHeight="1"/>
    <row r="41" spans="2:13" ht="30" customHeight="1">
      <c r="B41" s="87" t="s">
        <v>18</v>
      </c>
      <c r="C41" s="87"/>
      <c r="D41" s="87"/>
      <c r="E41" s="87"/>
      <c r="F41" s="87"/>
      <c r="G41" s="87"/>
      <c r="H41" s="87"/>
      <c r="I41" s="87"/>
      <c r="J41" s="87"/>
      <c r="K41" s="87"/>
    </row>
    <row r="42" spans="2:13" ht="30" customHeight="1">
      <c r="B42" s="40">
        <v>8</v>
      </c>
      <c r="C42" s="75" t="e">
        <f ca="1">IF(ISBLANK(INDIRECT(ADDRESS(B42*2+2,3))),"",INDIRECT(ADDRESS(B42*2+2,3)))</f>
        <v>#VALUE!</v>
      </c>
      <c r="D42" s="75"/>
      <c r="E42" s="76"/>
      <c r="F42" s="15"/>
      <c r="G42" s="16"/>
      <c r="H42" s="82" t="str">
        <f ca="1">IF(ISBLANK(INDIRECT(ADDRESS(K42*2+2,3))),"",INDIRECT(ADDRESS(K42*2+2,3)))</f>
        <v>Кацеро-Таратынова</v>
      </c>
      <c r="I42" s="75"/>
      <c r="J42" s="75"/>
      <c r="K42" s="40">
        <v>6</v>
      </c>
      <c r="L42" s="26" t="s">
        <v>5</v>
      </c>
      <c r="M42" s="27"/>
    </row>
    <row r="43" spans="2:13" ht="30" customHeight="1">
      <c r="B43" s="40">
        <v>7</v>
      </c>
      <c r="C43" s="75" t="str">
        <f ca="1">IF(ISBLANK(INDIRECT(ADDRESS(B43*2+2,3))),"",INDIRECT(ADDRESS(B43*2+2,3)))</f>
        <v>Шукуров-Стаханова</v>
      </c>
      <c r="D43" s="75"/>
      <c r="E43" s="76"/>
      <c r="F43" s="15">
        <v>3</v>
      </c>
      <c r="G43" s="16">
        <v>13</v>
      </c>
      <c r="H43" s="82" t="str">
        <f ca="1">IF(ISBLANK(INDIRECT(ADDRESS(K43*2+2,3))),"",INDIRECT(ADDRESS(K43*2+2,3)))</f>
        <v>Плавич-Сеничкина</v>
      </c>
      <c r="I43" s="75"/>
      <c r="J43" s="75"/>
      <c r="K43" s="40">
        <v>5</v>
      </c>
      <c r="L43" s="26" t="s">
        <v>5</v>
      </c>
      <c r="M43" s="27">
        <v>4</v>
      </c>
    </row>
    <row r="44" spans="2:13" ht="30" customHeight="1">
      <c r="B44" s="40">
        <v>1</v>
      </c>
      <c r="C44" s="75" t="str">
        <f ca="1">IF(ISBLANK(INDIRECT(ADDRESS(B44*2+2,3))),"",INDIRECT(ADDRESS(B44*2+2,3)))</f>
        <v>Анухин-Симутина</v>
      </c>
      <c r="D44" s="75"/>
      <c r="E44" s="76"/>
      <c r="F44" s="15">
        <v>7</v>
      </c>
      <c r="G44" s="16">
        <v>13</v>
      </c>
      <c r="H44" s="82" t="str">
        <f ca="1">IF(ISBLANK(INDIRECT(ADDRESS(K44*2+2,3))),"",INDIRECT(ADDRESS(K44*2+2,3)))</f>
        <v>Прокофьев-Румянцева</v>
      </c>
      <c r="I44" s="75"/>
      <c r="J44" s="75"/>
      <c r="K44" s="40">
        <v>4</v>
      </c>
      <c r="L44" s="26" t="s">
        <v>5</v>
      </c>
      <c r="M44" s="27">
        <v>5</v>
      </c>
    </row>
    <row r="45" spans="2:13" ht="30" customHeight="1">
      <c r="B45" s="40">
        <v>2</v>
      </c>
      <c r="C45" s="75" t="str">
        <f ca="1">IF(ISBLANK(INDIRECT(ADDRESS(B45*2+2,3))),"",INDIRECT(ADDRESS(B45*2+2,3)))</f>
        <v>Майсов-Валуева</v>
      </c>
      <c r="D45" s="75"/>
      <c r="E45" s="76"/>
      <c r="F45" s="15">
        <v>3</v>
      </c>
      <c r="G45" s="16">
        <v>10</v>
      </c>
      <c r="H45" s="82" t="str">
        <f ca="1">IF(ISBLANK(INDIRECT(ADDRESS(K45*2+2,3))),"",INDIRECT(ADDRESS(K45*2+2,3)))</f>
        <v>Милехин-Милехина</v>
      </c>
      <c r="I45" s="75"/>
      <c r="J45" s="75"/>
      <c r="K45" s="40">
        <v>3</v>
      </c>
      <c r="L45" s="26" t="s">
        <v>5</v>
      </c>
      <c r="M45" s="27">
        <v>6</v>
      </c>
    </row>
    <row r="46" spans="2:13" ht="30" customHeight="1"/>
    <row r="47" spans="2:13" ht="30" customHeight="1">
      <c r="B47" s="87" t="s">
        <v>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2:13" ht="30" customHeight="1">
      <c r="B48" s="40">
        <v>3</v>
      </c>
      <c r="C48" s="75" t="str">
        <f ca="1">IF(ISBLANK(INDIRECT(ADDRESS(B48*2+2,3))),"",INDIRECT(ADDRESS(B48*2+2,3)))</f>
        <v>Милехин-Милехина</v>
      </c>
      <c r="D48" s="75"/>
      <c r="E48" s="76"/>
      <c r="F48" s="15"/>
      <c r="G48" s="16"/>
      <c r="H48" s="82" t="e">
        <f ca="1">IF(ISBLANK(INDIRECT(ADDRESS(K48*2+2,3))),"",INDIRECT(ADDRESS(K48*2+2,3)))</f>
        <v>#VALUE!</v>
      </c>
      <c r="I48" s="75"/>
      <c r="J48" s="75"/>
      <c r="K48" s="40">
        <v>8</v>
      </c>
      <c r="L48" s="26" t="s">
        <v>5</v>
      </c>
      <c r="M48" s="27"/>
    </row>
    <row r="49" spans="2:13" ht="30" customHeight="1">
      <c r="B49" s="40">
        <v>4</v>
      </c>
      <c r="C49" s="75" t="str">
        <f ca="1">IF(ISBLANK(INDIRECT(ADDRESS(B49*2+2,3))),"",INDIRECT(ADDRESS(B49*2+2,3)))</f>
        <v>Прокофьев-Румянцева</v>
      </c>
      <c r="D49" s="75"/>
      <c r="E49" s="76"/>
      <c r="F49" s="15">
        <v>6</v>
      </c>
      <c r="G49" s="16">
        <v>9</v>
      </c>
      <c r="H49" s="82" t="str">
        <f ca="1">IF(ISBLANK(INDIRECT(ADDRESS(K49*2+2,3))),"",INDIRECT(ADDRESS(K49*2+2,3)))</f>
        <v>Майсов-Валуева</v>
      </c>
      <c r="I49" s="75"/>
      <c r="J49" s="75"/>
      <c r="K49" s="40">
        <v>2</v>
      </c>
      <c r="L49" s="26" t="s">
        <v>5</v>
      </c>
      <c r="M49" s="27">
        <v>5</v>
      </c>
    </row>
    <row r="50" spans="2:13" ht="30" customHeight="1">
      <c r="B50" s="40">
        <v>5</v>
      </c>
      <c r="C50" s="75" t="str">
        <f ca="1">IF(ISBLANK(INDIRECT(ADDRESS(B50*2+2,3))),"",INDIRECT(ADDRESS(B50*2+2,3)))</f>
        <v>Плавич-Сеничкина</v>
      </c>
      <c r="D50" s="75"/>
      <c r="E50" s="76"/>
      <c r="F50" s="15">
        <v>2</v>
      </c>
      <c r="G50" s="16">
        <v>13</v>
      </c>
      <c r="H50" s="82" t="str">
        <f ca="1">IF(ISBLANK(INDIRECT(ADDRESS(K50*2+2,3))),"",INDIRECT(ADDRESS(K50*2+2,3)))</f>
        <v>Анухин-Симутина</v>
      </c>
      <c r="I50" s="75"/>
      <c r="J50" s="75"/>
      <c r="K50" s="40">
        <v>1</v>
      </c>
      <c r="L50" s="26" t="s">
        <v>5</v>
      </c>
      <c r="M50" s="27">
        <v>6</v>
      </c>
    </row>
    <row r="51" spans="2:13" ht="30" customHeight="1">
      <c r="B51" s="40">
        <v>6</v>
      </c>
      <c r="C51" s="75" t="str">
        <f ca="1">IF(ISBLANK(INDIRECT(ADDRESS(B51*2+2,3))),"",INDIRECT(ADDRESS(B51*2+2,3)))</f>
        <v>Кацеро-Таратынова</v>
      </c>
      <c r="D51" s="75"/>
      <c r="E51" s="76"/>
      <c r="F51" s="15">
        <v>3</v>
      </c>
      <c r="G51" s="16">
        <v>13</v>
      </c>
      <c r="H51" s="82" t="str">
        <f ca="1">IF(ISBLANK(INDIRECT(ADDRESS(K51*2+2,3))),"",INDIRECT(ADDRESS(K51*2+2,3)))</f>
        <v>Шукуров-Стаханова</v>
      </c>
      <c r="I51" s="75"/>
      <c r="J51" s="75"/>
      <c r="K51" s="40">
        <v>7</v>
      </c>
      <c r="L51" s="26" t="s">
        <v>5</v>
      </c>
      <c r="M51" s="27">
        <v>1</v>
      </c>
    </row>
    <row r="52" spans="2:13" ht="30" customHeight="1"/>
    <row r="53" spans="2:13" ht="30" customHeight="1">
      <c r="B53" s="87" t="s">
        <v>27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2:13" ht="30" customHeight="1">
      <c r="B54" s="40">
        <v>8</v>
      </c>
      <c r="C54" s="75" t="e">
        <f ca="1">IF(ISBLANK(INDIRECT(ADDRESS(B54*2+2,3))),"",INDIRECT(ADDRESS(B54*2+2,3)))</f>
        <v>#VALUE!</v>
      </c>
      <c r="D54" s="75"/>
      <c r="E54" s="76"/>
      <c r="F54" s="15"/>
      <c r="G54" s="16"/>
      <c r="H54" s="82" t="str">
        <f ca="1">IF(ISBLANK(INDIRECT(ADDRESS(K54*2+2,3))),"",INDIRECT(ADDRESS(K54*2+2,3)))</f>
        <v>Шукуров-Стаханова</v>
      </c>
      <c r="I54" s="75"/>
      <c r="J54" s="75"/>
      <c r="K54" s="40">
        <v>7</v>
      </c>
      <c r="L54" s="26" t="s">
        <v>5</v>
      </c>
      <c r="M54" s="27"/>
    </row>
    <row r="55" spans="2:13" ht="30" customHeight="1">
      <c r="B55" s="40">
        <v>1</v>
      </c>
      <c r="C55" s="75" t="str">
        <f ca="1">IF(ISBLANK(INDIRECT(ADDRESS(B55*2+2,3))),"",INDIRECT(ADDRESS(B55*2+2,3)))</f>
        <v>Анухин-Симутина</v>
      </c>
      <c r="D55" s="75"/>
      <c r="E55" s="76"/>
      <c r="F55" s="15">
        <v>13</v>
      </c>
      <c r="G55" s="16">
        <v>4</v>
      </c>
      <c r="H55" s="82" t="str">
        <f ca="1">IF(ISBLANK(INDIRECT(ADDRESS(K55*2+2,3))),"",INDIRECT(ADDRESS(K55*2+2,3)))</f>
        <v>Кацеро-Таратынова</v>
      </c>
      <c r="I55" s="75"/>
      <c r="J55" s="75"/>
      <c r="K55" s="40">
        <v>6</v>
      </c>
      <c r="L55" s="26" t="s">
        <v>5</v>
      </c>
      <c r="M55" s="27">
        <v>6</v>
      </c>
    </row>
    <row r="56" spans="2:13" ht="30" customHeight="1">
      <c r="B56" s="40">
        <v>2</v>
      </c>
      <c r="C56" s="75" t="str">
        <f ca="1">IF(ISBLANK(INDIRECT(ADDRESS(B56*2+2,3))),"",INDIRECT(ADDRESS(B56*2+2,3)))</f>
        <v>Майсов-Валуева</v>
      </c>
      <c r="D56" s="75"/>
      <c r="E56" s="76"/>
      <c r="F56" s="15">
        <v>6</v>
      </c>
      <c r="G56" s="16">
        <v>13</v>
      </c>
      <c r="H56" s="82" t="str">
        <f ca="1">IF(ISBLANK(INDIRECT(ADDRESS(K56*2+2,3))),"",INDIRECT(ADDRESS(K56*2+2,3)))</f>
        <v>Плавич-Сеничкина</v>
      </c>
      <c r="I56" s="75"/>
      <c r="J56" s="75"/>
      <c r="K56" s="40">
        <v>5</v>
      </c>
      <c r="L56" s="26" t="s">
        <v>5</v>
      </c>
      <c r="M56" s="27">
        <v>1</v>
      </c>
    </row>
    <row r="57" spans="2:13" ht="30" customHeight="1">
      <c r="B57" s="40">
        <v>3</v>
      </c>
      <c r="C57" s="75" t="str">
        <f ca="1">IF(ISBLANK(INDIRECT(ADDRESS(B57*2+2,3))),"",INDIRECT(ADDRESS(B57*2+2,3)))</f>
        <v>Милехин-Милехина</v>
      </c>
      <c r="D57" s="75"/>
      <c r="E57" s="76"/>
      <c r="F57" s="15">
        <v>10</v>
      </c>
      <c r="G57" s="16">
        <v>12</v>
      </c>
      <c r="H57" s="82" t="str">
        <f ca="1">IF(ISBLANK(INDIRECT(ADDRESS(K57*2+2,3))),"",INDIRECT(ADDRESS(K57*2+2,3)))</f>
        <v>Прокофьев-Румянцева</v>
      </c>
      <c r="I57" s="75"/>
      <c r="J57" s="75"/>
      <c r="K57" s="40">
        <v>4</v>
      </c>
      <c r="L57" s="26" t="s">
        <v>5</v>
      </c>
      <c r="M57" s="27">
        <v>2</v>
      </c>
    </row>
    <row r="58" spans="2:13" ht="30" customHeight="1"/>
    <row r="59" spans="2:13" ht="30" customHeight="1">
      <c r="B59" s="87" t="s">
        <v>28</v>
      </c>
      <c r="C59" s="87"/>
      <c r="D59" s="87"/>
      <c r="E59" s="87"/>
      <c r="F59" s="87"/>
      <c r="G59" s="87"/>
      <c r="H59" s="87"/>
      <c r="I59" s="87"/>
      <c r="J59" s="87"/>
      <c r="K59" s="87"/>
    </row>
    <row r="60" spans="2:13" ht="30" customHeight="1">
      <c r="B60" s="40">
        <v>4</v>
      </c>
      <c r="C60" s="75" t="str">
        <f ca="1">IF(ISBLANK(INDIRECT(ADDRESS(B60*2+2,3))),"",INDIRECT(ADDRESS(B60*2+2,3)))</f>
        <v>Прокофьев-Румянцева</v>
      </c>
      <c r="D60" s="75"/>
      <c r="E60" s="76"/>
      <c r="F60" s="15"/>
      <c r="G60" s="16"/>
      <c r="H60" s="82" t="e">
        <f ca="1">IF(ISBLANK(INDIRECT(ADDRESS(K60*2+2,3))),"",INDIRECT(ADDRESS(K60*2+2,3)))</f>
        <v>#VALUE!</v>
      </c>
      <c r="I60" s="75"/>
      <c r="J60" s="75"/>
      <c r="K60" s="40">
        <v>8</v>
      </c>
      <c r="L60" s="26" t="s">
        <v>5</v>
      </c>
      <c r="M60" s="27"/>
    </row>
    <row r="61" spans="2:13" ht="30" customHeight="1">
      <c r="B61" s="40">
        <v>5</v>
      </c>
      <c r="C61" s="75" t="str">
        <f ca="1">IF(ISBLANK(INDIRECT(ADDRESS(B61*2+2,3))),"",INDIRECT(ADDRESS(B61*2+2,3)))</f>
        <v>Плавич-Сеничкина</v>
      </c>
      <c r="D61" s="75"/>
      <c r="E61" s="76"/>
      <c r="F61" s="15">
        <v>7</v>
      </c>
      <c r="G61" s="16">
        <v>13</v>
      </c>
      <c r="H61" s="82" t="str">
        <f ca="1">IF(ISBLANK(INDIRECT(ADDRESS(K61*2+2,3))),"",INDIRECT(ADDRESS(K61*2+2,3)))</f>
        <v>Милехин-Милехина</v>
      </c>
      <c r="I61" s="75"/>
      <c r="J61" s="75"/>
      <c r="K61" s="40">
        <v>3</v>
      </c>
      <c r="L61" s="26" t="s">
        <v>5</v>
      </c>
      <c r="M61" s="27">
        <v>1</v>
      </c>
    </row>
    <row r="62" spans="2:13" ht="30" customHeight="1">
      <c r="B62" s="40">
        <v>6</v>
      </c>
      <c r="C62" s="75" t="str">
        <f ca="1">IF(ISBLANK(INDIRECT(ADDRESS(B62*2+2,3))),"",INDIRECT(ADDRESS(B62*2+2,3)))</f>
        <v>Кацеро-Таратынова</v>
      </c>
      <c r="D62" s="75"/>
      <c r="E62" s="76"/>
      <c r="F62" s="15">
        <v>6</v>
      </c>
      <c r="G62" s="16">
        <v>13</v>
      </c>
      <c r="H62" s="82" t="str">
        <f ca="1">IF(ISBLANK(INDIRECT(ADDRESS(K62*2+2,3))),"",INDIRECT(ADDRESS(K62*2+2,3)))</f>
        <v>Майсов-Валуева</v>
      </c>
      <c r="I62" s="75"/>
      <c r="J62" s="75"/>
      <c r="K62" s="40">
        <v>2</v>
      </c>
      <c r="L62" s="26" t="s">
        <v>5</v>
      </c>
      <c r="M62" s="27">
        <v>2</v>
      </c>
    </row>
    <row r="63" spans="2:13" ht="30" customHeight="1">
      <c r="B63" s="40">
        <v>7</v>
      </c>
      <c r="C63" s="75" t="str">
        <f ca="1">IF(ISBLANK(INDIRECT(ADDRESS(B63*2+2,3))),"",INDIRECT(ADDRESS(B63*2+2,3)))</f>
        <v>Шукуров-Стаханова</v>
      </c>
      <c r="D63" s="75"/>
      <c r="E63" s="76"/>
      <c r="F63" s="15">
        <v>5</v>
      </c>
      <c r="G63" s="16">
        <v>13</v>
      </c>
      <c r="H63" s="82" t="str">
        <f ca="1">IF(ISBLANK(INDIRECT(ADDRESS(K63*2+2,3))),"",INDIRECT(ADDRESS(K63*2+2,3)))</f>
        <v>Анухин-Симутина</v>
      </c>
      <c r="I63" s="75"/>
      <c r="J63" s="75"/>
      <c r="K63" s="40">
        <v>1</v>
      </c>
      <c r="L63" s="26" t="s">
        <v>5</v>
      </c>
      <c r="M63" s="27">
        <v>3</v>
      </c>
    </row>
  </sheetData>
  <sheetCalcPr fullCalcOnLoad="1"/>
  <mergeCells count="97">
    <mergeCell ref="H30:J30"/>
    <mergeCell ref="C27:E27"/>
    <mergeCell ref="H27:J27"/>
    <mergeCell ref="B10:B11"/>
    <mergeCell ref="B12:B13"/>
    <mergeCell ref="B14:B15"/>
    <mergeCell ref="B16:B17"/>
    <mergeCell ref="B1:K1"/>
    <mergeCell ref="C3:E3"/>
    <mergeCell ref="B23:K23"/>
    <mergeCell ref="C24:E24"/>
    <mergeCell ref="H24:J24"/>
    <mergeCell ref="B4:B5"/>
    <mergeCell ref="B6:B7"/>
    <mergeCell ref="B8:B9"/>
    <mergeCell ref="B18:B19"/>
    <mergeCell ref="C18:E19"/>
    <mergeCell ref="C26:E26"/>
    <mergeCell ref="H26:J26"/>
    <mergeCell ref="B29:K29"/>
    <mergeCell ref="C31:E31"/>
    <mergeCell ref="H31:J31"/>
    <mergeCell ref="C14:E15"/>
    <mergeCell ref="C16:E17"/>
    <mergeCell ref="C25:E25"/>
    <mergeCell ref="H25:J25"/>
    <mergeCell ref="C30:E30"/>
    <mergeCell ref="C32:E32"/>
    <mergeCell ref="H32:J32"/>
    <mergeCell ref="C33:E33"/>
    <mergeCell ref="H33:J33"/>
    <mergeCell ref="B35:K35"/>
    <mergeCell ref="C36:E36"/>
    <mergeCell ref="H36:J36"/>
    <mergeCell ref="C37:E37"/>
    <mergeCell ref="H37:J37"/>
    <mergeCell ref="C45:E45"/>
    <mergeCell ref="H45:J45"/>
    <mergeCell ref="C39:E39"/>
    <mergeCell ref="H39:J39"/>
    <mergeCell ref="B41:K41"/>
    <mergeCell ref="C38:E38"/>
    <mergeCell ref="H38:J38"/>
    <mergeCell ref="B53:K53"/>
    <mergeCell ref="C54:E54"/>
    <mergeCell ref="C42:E42"/>
    <mergeCell ref="H42:J42"/>
    <mergeCell ref="C43:E43"/>
    <mergeCell ref="H43:J43"/>
    <mergeCell ref="C48:E48"/>
    <mergeCell ref="H48:J48"/>
    <mergeCell ref="H61:J61"/>
    <mergeCell ref="C62:E62"/>
    <mergeCell ref="C44:E44"/>
    <mergeCell ref="H44:J44"/>
    <mergeCell ref="B47:K47"/>
    <mergeCell ref="H56:J56"/>
    <mergeCell ref="C50:E50"/>
    <mergeCell ref="H50:J50"/>
    <mergeCell ref="C51:E51"/>
    <mergeCell ref="H51:J51"/>
    <mergeCell ref="N18:N19"/>
    <mergeCell ref="H54:J54"/>
    <mergeCell ref="C63:E63"/>
    <mergeCell ref="H63:J63"/>
    <mergeCell ref="C57:E57"/>
    <mergeCell ref="H57:J57"/>
    <mergeCell ref="B59:K59"/>
    <mergeCell ref="C60:E60"/>
    <mergeCell ref="H60:J60"/>
    <mergeCell ref="C61:E61"/>
    <mergeCell ref="C55:E55"/>
    <mergeCell ref="H55:J55"/>
    <mergeCell ref="C49:E49"/>
    <mergeCell ref="H49:J49"/>
    <mergeCell ref="H62:J62"/>
    <mergeCell ref="P12:P13"/>
    <mergeCell ref="P14:P15"/>
    <mergeCell ref="P16:P17"/>
    <mergeCell ref="P18:P19"/>
    <mergeCell ref="N16:N17"/>
    <mergeCell ref="C56:E56"/>
    <mergeCell ref="N14:N15"/>
    <mergeCell ref="N4:N5"/>
    <mergeCell ref="N6:N7"/>
    <mergeCell ref="N8:N9"/>
    <mergeCell ref="N10:N11"/>
    <mergeCell ref="C4:E5"/>
    <mergeCell ref="N12:N13"/>
    <mergeCell ref="C10:E11"/>
    <mergeCell ref="C12:E13"/>
    <mergeCell ref="C6:E7"/>
    <mergeCell ref="C8:E9"/>
    <mergeCell ref="P4:P5"/>
    <mergeCell ref="P6:P7"/>
    <mergeCell ref="P8:P9"/>
    <mergeCell ref="P10:P11"/>
  </mergeCells>
  <phoneticPr fontId="9" type="noConversion"/>
  <printOptions horizontalCentered="1"/>
  <pageMargins left="0.31496062992126" right="0.31496062992126" top="0.35433070866141703" bottom="0.55118110236220497" header="0.31496062992126" footer="0.31496062992126"/>
  <pageSetup paperSize="9" scale="4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="50" zoomScaleNormal="50" workbookViewId="0">
      <selection activeCell="C10" sqref="C10:E11"/>
    </sheetView>
  </sheetViews>
  <sheetFormatPr defaultColWidth="9" defaultRowHeight="15"/>
  <cols>
    <col min="1" max="1" width="4" customWidth="1"/>
    <col min="2" max="12" width="10.28515625" customWidth="1"/>
    <col min="13" max="13" width="10.28515625" style="28" customWidth="1"/>
    <col min="14" max="15" width="10.28515625" customWidth="1"/>
  </cols>
  <sheetData>
    <row r="1" spans="1:24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M1"/>
    </row>
    <row r="2" spans="1:24">
      <c r="B2" t="s">
        <v>36</v>
      </c>
      <c r="M2"/>
    </row>
    <row r="3" spans="1:24" ht="30" customHeight="1">
      <c r="B3" s="1"/>
      <c r="C3" s="95" t="s">
        <v>0</v>
      </c>
      <c r="D3" s="96"/>
      <c r="E3" s="97"/>
      <c r="F3" s="2">
        <v>1</v>
      </c>
      <c r="G3" s="2">
        <v>2</v>
      </c>
      <c r="H3" s="2">
        <v>3</v>
      </c>
      <c r="I3" s="17">
        <v>4</v>
      </c>
      <c r="J3" s="17">
        <v>5</v>
      </c>
      <c r="K3" s="17">
        <v>6</v>
      </c>
      <c r="L3" s="17">
        <v>7</v>
      </c>
      <c r="M3" s="19">
        <v>8</v>
      </c>
      <c r="N3" s="18" t="s">
        <v>1</v>
      </c>
      <c r="O3" s="2" t="s">
        <v>2</v>
      </c>
      <c r="P3" s="19" t="s">
        <v>3</v>
      </c>
    </row>
    <row r="4" spans="1:24" ht="24" customHeight="1">
      <c r="A4" s="40"/>
      <c r="B4" s="98">
        <v>1</v>
      </c>
      <c r="C4" s="79" t="s">
        <v>37</v>
      </c>
      <c r="D4" s="80"/>
      <c r="E4" s="81"/>
      <c r="F4" s="3"/>
      <c r="G4" s="4" t="str">
        <f ca="1">INDIRECT(ADDRESS(33,6))&amp;":"&amp;INDIRECT(ADDRESS(33,7))</f>
        <v>13:1</v>
      </c>
      <c r="H4" s="4" t="str">
        <f ca="1">INDIRECT(ADDRESS(37,7))&amp;":"&amp;INDIRECT(ADDRESS(37,6))</f>
        <v>11:10</v>
      </c>
      <c r="I4" s="4" t="str">
        <f ca="1">INDIRECT(ADDRESS(44,6))&amp;":"&amp;INDIRECT(ADDRESS(44,7))</f>
        <v>13:12</v>
      </c>
      <c r="J4" s="4" t="str">
        <f ca="1">INDIRECT(ADDRESS(50,7))&amp;":"&amp;INDIRECT(ADDRESS(50,6))</f>
        <v>13:2</v>
      </c>
      <c r="K4" s="45" t="str">
        <f ca="1">INDIRECT(ADDRESS(55,6))&amp;":"&amp;INDIRECT(ADDRESS(55,7))</f>
        <v>13:1</v>
      </c>
      <c r="L4" s="45" t="str">
        <f ca="1">INDIRECT(ADDRESS(63,7))&amp;":"&amp;INDIRECT(ADDRESS(63,6))</f>
        <v>13:3</v>
      </c>
      <c r="M4" s="46" t="str">
        <f ca="1">INDIRECT(ADDRESS(24,6))&amp;":"&amp;INDIRECT(ADDRESS(24,7))</f>
        <v>:</v>
      </c>
      <c r="N4" s="78">
        <f ca="1">IF(COUNT(F5:M5)=0,"",COUNTIF(F5:M5,"&gt;0")+0.5*COUNTIF(F5:M5,0))</f>
        <v>6</v>
      </c>
      <c r="O4" s="21"/>
      <c r="P4" s="70">
        <v>1</v>
      </c>
    </row>
    <row r="5" spans="1:24" ht="24" customHeight="1">
      <c r="A5" s="40"/>
      <c r="B5" s="99"/>
      <c r="C5" s="67"/>
      <c r="D5" s="68"/>
      <c r="E5" s="69"/>
      <c r="F5" s="5"/>
      <c r="G5" s="6">
        <f ca="1">IF(LEN(INDIRECT(ADDRESS(ROW()-1,COLUMN())))=1,"",INDIRECT(ADDRESS(33,6))-INDIRECT(ADDRESS(33,7)))</f>
        <v>12</v>
      </c>
      <c r="H5" s="6">
        <f ca="1">IF(LEN(INDIRECT(ADDRESS(ROW()-1,COLUMN())))=1,"",INDIRECT(ADDRESS(37,7))-INDIRECT(ADDRESS(37,6)))</f>
        <v>1</v>
      </c>
      <c r="I5" s="6">
        <f ca="1">IF(LEN(INDIRECT(ADDRESS(ROW()-1,COLUMN())))=1,"",INDIRECT(ADDRESS(44,6))-INDIRECT(ADDRESS(44,7)))</f>
        <v>1</v>
      </c>
      <c r="J5" s="6">
        <f ca="1">IF(LEN(INDIRECT(ADDRESS(ROW()-1,COLUMN())))=1,"",INDIRECT(ADDRESS(50,7))-INDIRECT(ADDRESS(50,6)))</f>
        <v>11</v>
      </c>
      <c r="K5" s="47">
        <f ca="1">IF(LEN(INDIRECT(ADDRESS(ROW()-1,COLUMN())))=1,"",INDIRECT(ADDRESS(55,6))-INDIRECT(ADDRESS(55,7)))</f>
        <v>12</v>
      </c>
      <c r="L5" s="47">
        <f ca="1">IF(LEN(INDIRECT(ADDRESS(ROW()-1,COLUMN())))=1,"",INDIRECT(ADDRESS(63,7))-INDIRECT(ADDRESS(63,6)))</f>
        <v>10</v>
      </c>
      <c r="M5" s="22" t="str">
        <f ca="1">IF(LEN(INDIRECT(ADDRESS(ROW()-1,COLUMN())))=1,"",INDIRECT(ADDRESS(24,6))-INDIRECT(ADDRESS(24,7)))</f>
        <v/>
      </c>
      <c r="N5" s="77"/>
      <c r="O5" s="6">
        <f ca="1">IF(COUNT(F5:M5)=0,"",SUM(F5:M5))</f>
        <v>47</v>
      </c>
      <c r="P5" s="71"/>
    </row>
    <row r="6" spans="1:24" ht="24" customHeight="1">
      <c r="A6" s="40"/>
      <c r="B6" s="100">
        <v>2</v>
      </c>
      <c r="C6" s="67" t="s">
        <v>15</v>
      </c>
      <c r="D6" s="68"/>
      <c r="E6" s="69"/>
      <c r="F6" s="7" t="str">
        <f ca="1">INDIRECT(ADDRESS(33,7))&amp;":"&amp;INDIRECT(ADDRESS(33,6))</f>
        <v>1:13</v>
      </c>
      <c r="G6" s="8"/>
      <c r="H6" s="9" t="str">
        <f ca="1">INDIRECT(ADDRESS(45,6))&amp;":"&amp;INDIRECT(ADDRESS(45,7))</f>
        <v>5:11</v>
      </c>
      <c r="I6" s="9" t="str">
        <f ca="1">INDIRECT(ADDRESS(49,7))&amp;":"&amp;INDIRECT(ADDRESS(49,6))</f>
        <v>6:10</v>
      </c>
      <c r="J6" s="9" t="str">
        <f ca="1">INDIRECT(ADDRESS(56,6))&amp;":"&amp;INDIRECT(ADDRESS(56,7))</f>
        <v>9:5</v>
      </c>
      <c r="K6" s="48" t="str">
        <f ca="1">INDIRECT(ADDRESS(62,7))&amp;":"&amp;INDIRECT(ADDRESS(62,6))</f>
        <v>4:13</v>
      </c>
      <c r="L6" s="48" t="str">
        <f ca="1">INDIRECT(ADDRESS(25,6))&amp;":"&amp;INDIRECT(ADDRESS(25,7))</f>
        <v>12:4</v>
      </c>
      <c r="M6" s="23" t="str">
        <f ca="1">INDIRECT(ADDRESS(36,6))&amp;":"&amp;INDIRECT(ADDRESS(36,7))</f>
        <v>:</v>
      </c>
      <c r="N6" s="77">
        <f ca="1">IF(COUNT(F7:M7)=0,"",COUNTIF(F7:M7,"&gt;0")+0.5*COUNTIF(F7:M7,0))</f>
        <v>2</v>
      </c>
      <c r="O6" s="6"/>
      <c r="P6" s="72">
        <v>5</v>
      </c>
      <c r="V6" t="s">
        <v>38</v>
      </c>
      <c r="W6" s="63">
        <v>18819</v>
      </c>
      <c r="X6" t="s">
        <v>39</v>
      </c>
    </row>
    <row r="7" spans="1:24" ht="24" customHeight="1">
      <c r="A7" s="40"/>
      <c r="B7" s="99"/>
      <c r="C7" s="67"/>
      <c r="D7" s="68"/>
      <c r="E7" s="69"/>
      <c r="F7" s="10">
        <f ca="1">IF(LEN(INDIRECT(ADDRESS(ROW()-1,COLUMN())))=1,"",INDIRECT(ADDRESS(33,7))-INDIRECT(ADDRESS(33,6)))</f>
        <v>-12</v>
      </c>
      <c r="G7" s="11"/>
      <c r="H7" s="6">
        <f ca="1">IF(LEN(INDIRECT(ADDRESS(ROW()-1,COLUMN())))=1,"",INDIRECT(ADDRESS(45,6))-INDIRECT(ADDRESS(45,7)))</f>
        <v>-6</v>
      </c>
      <c r="I7" s="6">
        <f ca="1">IF(LEN(INDIRECT(ADDRESS(ROW()-1,COLUMN())))=1,"",INDIRECT(ADDRESS(49,7))-INDIRECT(ADDRESS(49,6)))</f>
        <v>-4</v>
      </c>
      <c r="J7" s="6">
        <f ca="1">IF(LEN(INDIRECT(ADDRESS(ROW()-1,COLUMN())))=1,"",INDIRECT(ADDRESS(56,6))-INDIRECT(ADDRESS(56,7)))</f>
        <v>4</v>
      </c>
      <c r="K7" s="47">
        <f ca="1">IF(LEN(INDIRECT(ADDRESS(ROW()-1,COLUMN())))=1,"",INDIRECT(ADDRESS(62,7))-INDIRECT(ADDRESS(62,6)))</f>
        <v>-9</v>
      </c>
      <c r="L7" s="47">
        <f ca="1">IF(LEN(INDIRECT(ADDRESS(ROW()-1,COLUMN())))=1,"",INDIRECT(ADDRESS(25,6))-INDIRECT(ADDRESS(25,7)))</f>
        <v>8</v>
      </c>
      <c r="M7" s="22" t="str">
        <f ca="1">IF(LEN(INDIRECT(ADDRESS(ROW()-1,COLUMN())))=1,"",INDIRECT(ADDRESS(36,6))-INDIRECT(ADDRESS(36,7)))</f>
        <v/>
      </c>
      <c r="N7" s="77"/>
      <c r="O7" s="6">
        <f ca="1">IF(COUNT(F7:M7)=0,"",SUM(F7:M7))</f>
        <v>-19</v>
      </c>
      <c r="P7" s="73"/>
    </row>
    <row r="8" spans="1:24" ht="24" customHeight="1">
      <c r="A8" s="40"/>
      <c r="B8" s="100">
        <v>3</v>
      </c>
      <c r="C8" s="67" t="s">
        <v>13</v>
      </c>
      <c r="D8" s="68"/>
      <c r="E8" s="69"/>
      <c r="F8" s="7" t="str">
        <f ca="1">INDIRECT(ADDRESS(37,6))&amp;":"&amp;INDIRECT(ADDRESS(37,7))</f>
        <v>10:11</v>
      </c>
      <c r="G8" s="9" t="str">
        <f ca="1">INDIRECT(ADDRESS(45,7))&amp;":"&amp;INDIRECT(ADDRESS(45,6))</f>
        <v>11:5</v>
      </c>
      <c r="H8" s="8"/>
      <c r="I8" s="9" t="str">
        <f ca="1">INDIRECT(ADDRESS(57,6))&amp;":"&amp;INDIRECT(ADDRESS(57,7))</f>
        <v>9:13</v>
      </c>
      <c r="J8" s="9" t="str">
        <f ca="1">INDIRECT(ADDRESS(61,7))&amp;":"&amp;INDIRECT(ADDRESS(61,6))</f>
        <v>11:5</v>
      </c>
      <c r="K8" s="48" t="str">
        <f ca="1">INDIRECT(ADDRESS(26,6))&amp;":"&amp;INDIRECT(ADDRESS(26,7))</f>
        <v>6:13</v>
      </c>
      <c r="L8" s="48" t="str">
        <f ca="1">INDIRECT(ADDRESS(32,7))&amp;":"&amp;INDIRECT(ADDRESS(32,6))</f>
        <v>3:13</v>
      </c>
      <c r="M8" s="23" t="str">
        <f ca="1">INDIRECT(ADDRESS(48,6))&amp;":"&amp;INDIRECT(ADDRESS(48,7))</f>
        <v>:</v>
      </c>
      <c r="N8" s="77">
        <f ca="1">IF(COUNT(F9:M9)=0,"",COUNTIF(F9:M9,"&gt;0")+0.5*COUNTIF(F9:M9,0))</f>
        <v>2</v>
      </c>
      <c r="O8" s="6"/>
      <c r="P8" s="72">
        <v>6</v>
      </c>
    </row>
    <row r="9" spans="1:24" ht="24" customHeight="1">
      <c r="A9" s="40"/>
      <c r="B9" s="99"/>
      <c r="C9" s="67"/>
      <c r="D9" s="68"/>
      <c r="E9" s="69"/>
      <c r="F9" s="10">
        <f ca="1">IF(LEN(INDIRECT(ADDRESS(ROW()-1,COLUMN())))=1,"",INDIRECT(ADDRESS(37,6))-INDIRECT(ADDRESS(37,7)))</f>
        <v>-1</v>
      </c>
      <c r="G9" s="6">
        <f ca="1">IF(LEN(INDIRECT(ADDRESS(ROW()-1,COLUMN())))=1,"",INDIRECT(ADDRESS(45,7))-INDIRECT(ADDRESS(45,6)))</f>
        <v>6</v>
      </c>
      <c r="H9" s="11"/>
      <c r="I9" s="6">
        <f ca="1">IF(LEN(INDIRECT(ADDRESS(ROW()-1,COLUMN())))=1,"",INDIRECT(ADDRESS(57,6))-INDIRECT(ADDRESS(57,7)))</f>
        <v>-4</v>
      </c>
      <c r="J9" s="6">
        <f ca="1">IF(LEN(INDIRECT(ADDRESS(ROW()-1,COLUMN())))=1,"",INDIRECT(ADDRESS(61,7))-INDIRECT(ADDRESS(61,6)))</f>
        <v>6</v>
      </c>
      <c r="K9" s="47">
        <f ca="1">IF(LEN(INDIRECT(ADDRESS(ROW()-1,COLUMN())))=1,"",INDIRECT(ADDRESS(26,6))-INDIRECT(ADDRESS(26,7)))</f>
        <v>-7</v>
      </c>
      <c r="L9" s="47">
        <f ca="1">IF(LEN(INDIRECT(ADDRESS(ROW()-1,COLUMN())))=1,"",INDIRECT(ADDRESS(32,7))-INDIRECT(ADDRESS(32,6)))</f>
        <v>-10</v>
      </c>
      <c r="M9" s="22" t="str">
        <f ca="1">IF(LEN(INDIRECT(ADDRESS(ROW()-1,COLUMN())))=1,"",INDIRECT(ADDRESS(48,6))-INDIRECT(ADDRESS(48,7)))</f>
        <v/>
      </c>
      <c r="N9" s="77"/>
      <c r="O9" s="6">
        <f ca="1">IF(COUNT(F9:M9)=0,"",SUM(F9:M9))</f>
        <v>-10</v>
      </c>
      <c r="P9" s="73"/>
    </row>
    <row r="10" spans="1:24" ht="24" customHeight="1">
      <c r="A10" s="40"/>
      <c r="B10" s="100">
        <v>4</v>
      </c>
      <c r="C10" s="67" t="s">
        <v>40</v>
      </c>
      <c r="D10" s="68"/>
      <c r="E10" s="69"/>
      <c r="F10" s="7" t="str">
        <f ca="1">INDIRECT(ADDRESS(44,7))&amp;":"&amp;INDIRECT(ADDRESS(44,6))</f>
        <v>12:13</v>
      </c>
      <c r="G10" s="9" t="str">
        <f ca="1">INDIRECT(ADDRESS(49,6))&amp;":"&amp;INDIRECT(ADDRESS(49,7))</f>
        <v>10:6</v>
      </c>
      <c r="H10" s="9" t="str">
        <f ca="1">INDIRECT(ADDRESS(57,7))&amp;":"&amp;INDIRECT(ADDRESS(57,6))</f>
        <v>13:9</v>
      </c>
      <c r="I10" s="8"/>
      <c r="J10" s="9" t="str">
        <f ca="1">INDIRECT(ADDRESS(27,6))&amp;":"&amp;INDIRECT(ADDRESS(27,7))</f>
        <v>12:5</v>
      </c>
      <c r="K10" s="48" t="str">
        <f ca="1">INDIRECT(ADDRESS(31,7))&amp;":"&amp;INDIRECT(ADDRESS(31,6))</f>
        <v>5:13</v>
      </c>
      <c r="L10" s="48" t="str">
        <f ca="1">INDIRECT(ADDRESS(38,6))&amp;":"&amp;INDIRECT(ADDRESS(38,7))</f>
        <v>13:9</v>
      </c>
      <c r="M10" s="23" t="str">
        <f ca="1">INDIRECT(ADDRESS(60,6))&amp;":"&amp;INDIRECT(ADDRESS(60,7))</f>
        <v>:</v>
      </c>
      <c r="N10" s="77">
        <f ca="1">IF(COUNT(F11:M11)=0,"",COUNTIF(F11:M11,"&gt;0")+0.5*COUNTIF(F11:M11,0))</f>
        <v>4</v>
      </c>
      <c r="O10" s="6"/>
      <c r="P10" s="74">
        <v>3</v>
      </c>
    </row>
    <row r="11" spans="1:24" ht="24" customHeight="1">
      <c r="A11" s="40"/>
      <c r="B11" s="99"/>
      <c r="C11" s="67"/>
      <c r="D11" s="68"/>
      <c r="E11" s="69"/>
      <c r="F11" s="10">
        <f ca="1">IF(LEN(INDIRECT(ADDRESS(ROW()-1,COLUMN())))=1,"",INDIRECT(ADDRESS(44,7))-INDIRECT(ADDRESS(44,6)))</f>
        <v>-1</v>
      </c>
      <c r="G11" s="6">
        <f ca="1">IF(LEN(INDIRECT(ADDRESS(ROW()-1,COLUMN())))=1,"",INDIRECT(ADDRESS(49,6))-INDIRECT(ADDRESS(49,7)))</f>
        <v>4</v>
      </c>
      <c r="H11" s="6">
        <f ca="1">IF(LEN(INDIRECT(ADDRESS(ROW()-1,COLUMN())))=1,"",INDIRECT(ADDRESS(57,7))-INDIRECT(ADDRESS(57,6)))</f>
        <v>4</v>
      </c>
      <c r="I11" s="11"/>
      <c r="J11" s="6">
        <f ca="1">IF(LEN(INDIRECT(ADDRESS(ROW()-1,COLUMN())))=1,"",INDIRECT(ADDRESS(27,6))-INDIRECT(ADDRESS(27,7)))</f>
        <v>7</v>
      </c>
      <c r="K11" s="47">
        <f ca="1">IF(LEN(INDIRECT(ADDRESS(ROW()-1,COLUMN())))=1,"",INDIRECT(ADDRESS(31,7))-INDIRECT(ADDRESS(31,6)))</f>
        <v>-8</v>
      </c>
      <c r="L11" s="47">
        <f ca="1">IF(LEN(INDIRECT(ADDRESS(ROW()-1,COLUMN())))=1,"",INDIRECT(ADDRESS(38,6))-INDIRECT(ADDRESS(38,7)))</f>
        <v>4</v>
      </c>
      <c r="M11" s="22" t="str">
        <f ca="1">IF(LEN(INDIRECT(ADDRESS(ROW()-1,COLUMN())))=1,"",INDIRECT(ADDRESS(60,6))-INDIRECT(ADDRESS(60,7)))</f>
        <v/>
      </c>
      <c r="N11" s="77"/>
      <c r="O11" s="6">
        <f ca="1">IF(COUNT(F11:M11)=0,"",SUM(F11:M11))</f>
        <v>10</v>
      </c>
      <c r="P11" s="71"/>
    </row>
    <row r="12" spans="1:24" ht="24" customHeight="1">
      <c r="A12" s="40"/>
      <c r="B12" s="100">
        <v>5</v>
      </c>
      <c r="C12" s="67" t="s">
        <v>16</v>
      </c>
      <c r="D12" s="68"/>
      <c r="E12" s="69"/>
      <c r="F12" s="7" t="str">
        <f ca="1">INDIRECT(ADDRESS(50,6))&amp;":"&amp;INDIRECT(ADDRESS(50,7))</f>
        <v>2:13</v>
      </c>
      <c r="G12" s="9" t="str">
        <f ca="1">INDIRECT(ADDRESS(56,7))&amp;":"&amp;INDIRECT(ADDRESS(56,6))</f>
        <v>5:9</v>
      </c>
      <c r="H12" s="9" t="str">
        <f ca="1">INDIRECT(ADDRESS(61,6))&amp;":"&amp;INDIRECT(ADDRESS(61,7))</f>
        <v>5:11</v>
      </c>
      <c r="I12" s="9" t="str">
        <f ca="1">INDIRECT(ADDRESS(27,7))&amp;":"&amp;INDIRECT(ADDRESS(27,6))</f>
        <v>5:12</v>
      </c>
      <c r="J12" s="8"/>
      <c r="K12" s="48" t="str">
        <f ca="1">INDIRECT(ADDRESS(39,6))&amp;":"&amp;INDIRECT(ADDRESS(39,7))</f>
        <v>9:6</v>
      </c>
      <c r="L12" s="48" t="str">
        <f ca="1">INDIRECT(ADDRESS(43,7))&amp;":"&amp;INDIRECT(ADDRESS(43,6))</f>
        <v>4:13</v>
      </c>
      <c r="M12" s="23" t="str">
        <f ca="1">INDIRECT(ADDRESS(30,7))&amp;":"&amp;INDIRECT(ADDRESS(30,6))</f>
        <v>:</v>
      </c>
      <c r="N12" s="77">
        <f ca="1">IF(COUNT(F13:M13)=0,"",COUNTIF(F13:M13,"&gt;0")+0.5*COUNTIF(F13:M13,0))</f>
        <v>1</v>
      </c>
      <c r="O12" s="6"/>
      <c r="P12" s="72">
        <v>7</v>
      </c>
    </row>
    <row r="13" spans="1:24" ht="24" customHeight="1">
      <c r="A13" s="40"/>
      <c r="B13" s="99"/>
      <c r="C13" s="67"/>
      <c r="D13" s="68"/>
      <c r="E13" s="69"/>
      <c r="F13" s="10">
        <f ca="1">IF(LEN(INDIRECT(ADDRESS(ROW()-1,COLUMN())))=1,"",INDIRECT(ADDRESS(50,6))-INDIRECT(ADDRESS(50,7)))</f>
        <v>-11</v>
      </c>
      <c r="G13" s="6">
        <f ca="1">IF(LEN(INDIRECT(ADDRESS(ROW()-1,COLUMN())))=1,"",INDIRECT(ADDRESS(56,7))-INDIRECT(ADDRESS(56,6)))</f>
        <v>-4</v>
      </c>
      <c r="H13" s="6">
        <f ca="1">IF(LEN(INDIRECT(ADDRESS(ROW()-1,COLUMN())))=1,"",INDIRECT(ADDRESS(61,6))-INDIRECT(ADDRESS(61,7)))</f>
        <v>-6</v>
      </c>
      <c r="I13" s="6">
        <f ca="1">IF(LEN(INDIRECT(ADDRESS(ROW()-1,COLUMN())))=1,"",INDIRECT(ADDRESS(27,7))-INDIRECT(ADDRESS(27,6)))</f>
        <v>-7</v>
      </c>
      <c r="J13" s="11"/>
      <c r="K13" s="47">
        <f ca="1">IF(LEN(INDIRECT(ADDRESS(ROW()-1,COLUMN())))=1,"",INDIRECT(ADDRESS(39,6))-INDIRECT(ADDRESS(39,7)))</f>
        <v>3</v>
      </c>
      <c r="L13" s="47">
        <f ca="1">IF(LEN(INDIRECT(ADDRESS(ROW()-1,COLUMN())))=1,"",INDIRECT(ADDRESS(43,7))-INDIRECT(ADDRESS(43,6)))</f>
        <v>-9</v>
      </c>
      <c r="M13" s="22" t="str">
        <f ca="1">IF(LEN(INDIRECT(ADDRESS(ROW()-1,COLUMN())))=1,"",INDIRECT(ADDRESS(30,7))-INDIRECT(ADDRESS(30,6)))</f>
        <v/>
      </c>
      <c r="N13" s="77"/>
      <c r="O13" s="6">
        <f ca="1">IF(COUNT(F13:M13)=0,"",SUM(F13:M13))</f>
        <v>-34</v>
      </c>
      <c r="P13" s="73"/>
      <c r="T13" t="s">
        <v>41</v>
      </c>
    </row>
    <row r="14" spans="1:24" ht="24" customHeight="1">
      <c r="A14" s="40"/>
      <c r="B14" s="100">
        <v>6</v>
      </c>
      <c r="C14" s="67" t="s">
        <v>42</v>
      </c>
      <c r="D14" s="68"/>
      <c r="E14" s="69"/>
      <c r="F14" s="7" t="str">
        <f ca="1">INDIRECT(ADDRESS(55,7))&amp;":"&amp;INDIRECT(ADDRESS(55,6))</f>
        <v>1:13</v>
      </c>
      <c r="G14" s="9" t="str">
        <f ca="1">INDIRECT(ADDRESS(62,6))&amp;":"&amp;INDIRECT(ADDRESS(62,7))</f>
        <v>13:4</v>
      </c>
      <c r="H14" s="9" t="str">
        <f ca="1">INDIRECT(ADDRESS(26,7))&amp;":"&amp;INDIRECT(ADDRESS(26,6))</f>
        <v>13:6</v>
      </c>
      <c r="I14" s="9" t="str">
        <f ca="1">INDIRECT(ADDRESS(31,6))&amp;":"&amp;INDIRECT(ADDRESS(31,7))</f>
        <v>13:5</v>
      </c>
      <c r="J14" s="9" t="str">
        <f ca="1">INDIRECT(ADDRESS(39,7))&amp;":"&amp;INDIRECT(ADDRESS(39,6))</f>
        <v>6:9</v>
      </c>
      <c r="K14" s="49"/>
      <c r="L14" s="50" t="str">
        <f ca="1">INDIRECT(ADDRESS(51,6))&amp;":"&amp;INDIRECT(ADDRESS(51,7))</f>
        <v>13:6</v>
      </c>
      <c r="M14" s="51" t="str">
        <f ca="1">INDIRECT(ADDRESS(42,7))&amp;":"&amp;INDIRECT(ADDRESS(42,6))</f>
        <v>:</v>
      </c>
      <c r="N14" s="77">
        <f ca="1">IF(COUNT(F15:M15)=0,"",COUNTIF(F15:M15,"&gt;0")+0.5*COUNTIF(F15:M15,0))</f>
        <v>4</v>
      </c>
      <c r="O14" s="6"/>
      <c r="P14" s="74">
        <v>2</v>
      </c>
    </row>
    <row r="15" spans="1:24" ht="24" customHeight="1">
      <c r="A15" s="40"/>
      <c r="B15" s="99"/>
      <c r="C15" s="67"/>
      <c r="D15" s="68"/>
      <c r="E15" s="69"/>
      <c r="F15" s="10">
        <f ca="1">IF(LEN(INDIRECT(ADDRESS(ROW()-1,COLUMN())))=1,"",INDIRECT(ADDRESS(55,7))-INDIRECT(ADDRESS(55,6)))</f>
        <v>-12</v>
      </c>
      <c r="G15" s="6">
        <f ca="1">IF(LEN(INDIRECT(ADDRESS(ROW()-1,COLUMN())))=1,"",INDIRECT(ADDRESS(62,6))-INDIRECT(ADDRESS(62,7)))</f>
        <v>9</v>
      </c>
      <c r="H15" s="6">
        <f ca="1">IF(LEN(INDIRECT(ADDRESS(ROW()-1,COLUMN())))=1,"",INDIRECT(ADDRESS(26,7))-INDIRECT(ADDRESS(26,6)))</f>
        <v>7</v>
      </c>
      <c r="I15" s="6">
        <f ca="1">IF(LEN(INDIRECT(ADDRESS(ROW()-1,COLUMN())))=1,"",INDIRECT(ADDRESS(31,6))-INDIRECT(ADDRESS(31,7)))</f>
        <v>8</v>
      </c>
      <c r="J15" s="6">
        <f ca="1">IF(LEN(INDIRECT(ADDRESS(ROW()-1,COLUMN())))=1,"",INDIRECT(ADDRESS(39,7))-INDIRECT(ADDRESS(39,6)))</f>
        <v>-3</v>
      </c>
      <c r="K15" s="52"/>
      <c r="L15" s="53">
        <f ca="1">IF(LEN(INDIRECT(ADDRESS(ROW()-1,COLUMN())))=1,"",INDIRECT(ADDRESS(51,6))-INDIRECT(ADDRESS(51,7)))</f>
        <v>7</v>
      </c>
      <c r="M15" s="54" t="str">
        <f ca="1">IF(LEN(INDIRECT(ADDRESS(ROW()-1,COLUMN())))=1,"",INDIRECT(ADDRESS(42,7))-INDIRECT(ADDRESS(42,6)))</f>
        <v/>
      </c>
      <c r="N15" s="77"/>
      <c r="O15" s="6">
        <f ca="1">IF(COUNT(F15:M15)=0,"",SUM(F15:M15))</f>
        <v>16</v>
      </c>
      <c r="P15" s="71"/>
    </row>
    <row r="16" spans="1:24" ht="24" customHeight="1">
      <c r="A16" s="40"/>
      <c r="B16" s="105">
        <v>7</v>
      </c>
      <c r="C16" s="88" t="s">
        <v>43</v>
      </c>
      <c r="D16" s="89"/>
      <c r="E16" s="90"/>
      <c r="F16" s="41" t="str">
        <f ca="1">INDIRECT(ADDRESS(63,6))&amp;":"&amp;INDIRECT(ADDRESS(63,7))</f>
        <v>3:13</v>
      </c>
      <c r="G16" s="42" t="str">
        <f ca="1">INDIRECT(ADDRESS(25,7))&amp;":"&amp;INDIRECT(ADDRESS(25,6))</f>
        <v>4:12</v>
      </c>
      <c r="H16" s="42" t="str">
        <f ca="1">INDIRECT(ADDRESS(32,6))&amp;":"&amp;INDIRECT(ADDRESS(32,7))</f>
        <v>13:3</v>
      </c>
      <c r="I16" s="42" t="str">
        <f ca="1">INDIRECT(ADDRESS(38,7))&amp;":"&amp;INDIRECT(ADDRESS(38,6))</f>
        <v>9:13</v>
      </c>
      <c r="J16" s="42" t="str">
        <f ca="1">INDIRECT(ADDRESS(43,6))&amp;":"&amp;INDIRECT(ADDRESS(43,7))</f>
        <v>13:4</v>
      </c>
      <c r="K16" s="55" t="str">
        <f ca="1">INDIRECT(ADDRESS(51,7))&amp;":"&amp;INDIRECT(ADDRESS(51,6))</f>
        <v>6:13</v>
      </c>
      <c r="L16" s="56"/>
      <c r="M16" s="57" t="str">
        <f ca="1">INDIRECT(ADDRESS(54,7))&amp;":"&amp;INDIRECT(ADDRESS(54,6))</f>
        <v>:</v>
      </c>
      <c r="N16" s="77">
        <f ca="1">IF(COUNT(F17:M17)=0,"",COUNTIF(F17:M17,"&gt;0")+0.5*COUNTIF(F17:M17,0))</f>
        <v>2</v>
      </c>
      <c r="O16" s="58"/>
      <c r="P16" s="83">
        <v>4</v>
      </c>
    </row>
    <row r="17" spans="1:16" ht="24" customHeight="1">
      <c r="A17" s="40"/>
      <c r="B17" s="105"/>
      <c r="C17" s="91"/>
      <c r="D17" s="92"/>
      <c r="E17" s="93"/>
      <c r="F17" s="43">
        <f ca="1">IF(LEN(INDIRECT(ADDRESS(ROW()-1,COLUMN())))=1,"",INDIRECT(ADDRESS(63,6))-INDIRECT(ADDRESS(63,7)))</f>
        <v>-10</v>
      </c>
      <c r="G17" s="44">
        <f ca="1">IF(LEN(INDIRECT(ADDRESS(ROW()-1,COLUMN())))=1,"",INDIRECT(ADDRESS(25,7))-INDIRECT(ADDRESS(25,6)))</f>
        <v>-8</v>
      </c>
      <c r="H17" s="44">
        <f ca="1">IF(LEN(INDIRECT(ADDRESS(ROW()-1,COLUMN())))=1,"",INDIRECT(ADDRESS(32,6))-INDIRECT(ADDRESS(32,7)))</f>
        <v>10</v>
      </c>
      <c r="I17" s="44">
        <f ca="1">IF(LEN(INDIRECT(ADDRESS(ROW()-1,COLUMN())))=1,"",INDIRECT(ADDRESS(38,7))-INDIRECT(ADDRESS(38,6)))</f>
        <v>-4</v>
      </c>
      <c r="J17" s="44">
        <f ca="1">IF(LEN(INDIRECT(ADDRESS(ROW()-1,COLUMN())))=1,"",INDIRECT(ADDRESS(43,6))-INDIRECT(ADDRESS(43,7)))</f>
        <v>9</v>
      </c>
      <c r="K17" s="59">
        <f ca="1">IF(LEN(INDIRECT(ADDRESS(ROW()-1,COLUMN())))=1,"",INDIRECT(ADDRESS(51,7))-INDIRECT(ADDRESS(51,6)))</f>
        <v>-7</v>
      </c>
      <c r="L17" s="60"/>
      <c r="M17" s="61" t="str">
        <f ca="1">IF(LEN(INDIRECT(ADDRESS(ROW()-1,COLUMN())))=1,"",INDIRECT(ADDRESS(54,7))-INDIRECT(ADDRESS(54,6)))</f>
        <v/>
      </c>
      <c r="N17" s="85"/>
      <c r="O17" s="44">
        <f ca="1">IF(COUNT(F17:M17)=0,"",SUM(F17:M17))</f>
        <v>-10</v>
      </c>
      <c r="P17" s="83"/>
    </row>
    <row r="18" spans="1:16" ht="24" customHeight="1">
      <c r="A18" s="40"/>
      <c r="B18" s="100">
        <v>8</v>
      </c>
      <c r="C18" s="67" t="e">
        <f>#VALUE!</f>
        <v>#VALUE!</v>
      </c>
      <c r="D18" s="68"/>
      <c r="E18" s="69"/>
      <c r="F18" s="7" t="str">
        <f ca="1">INDIRECT(ADDRESS(24,7))&amp;":"&amp;INDIRECT(ADDRESS(24,6))</f>
        <v>:</v>
      </c>
      <c r="G18" s="9" t="str">
        <f ca="1">INDIRECT(ADDRESS(36,7))&amp;":"&amp;INDIRECT(ADDRESS(36,6))</f>
        <v>:</v>
      </c>
      <c r="H18" s="9" t="str">
        <f ca="1">INDIRECT(ADDRESS(48,7))&amp;":"&amp;INDIRECT(ADDRESS(48,6))</f>
        <v>:</v>
      </c>
      <c r="I18" s="9" t="str">
        <f ca="1">INDIRECT(ADDRESS(60,7))&amp;":"&amp;INDIRECT(ADDRESS(60,6))</f>
        <v>:</v>
      </c>
      <c r="J18" s="9" t="str">
        <f ca="1">INDIRECT(ADDRESS(30,6))&amp;":"&amp;INDIRECT(ADDRESS(30,7))</f>
        <v>:</v>
      </c>
      <c r="K18" s="50" t="str">
        <f ca="1">INDIRECT(ADDRESS(42,6))&amp;":"&amp;INDIRECT(ADDRESS(42,7))</f>
        <v>:</v>
      </c>
      <c r="L18" s="50" t="str">
        <f ca="1">INDIRECT(ADDRESS(54,6))&amp;":"&amp;INDIRECT(ADDRESS(54,7))</f>
        <v>:</v>
      </c>
      <c r="M18" s="24"/>
      <c r="N18" s="77" t="str">
        <f ca="1">IF(COUNT(F19:M19)=0,"",COUNTIF(F19:M19,"&gt;0")+0.5*COUNTIF(F19:M19,0))</f>
        <v/>
      </c>
      <c r="O18" s="6"/>
      <c r="P18" s="74"/>
    </row>
    <row r="19" spans="1:16" ht="24" customHeight="1">
      <c r="A19" s="40"/>
      <c r="B19" s="101"/>
      <c r="C19" s="102"/>
      <c r="D19" s="103"/>
      <c r="E19" s="104"/>
      <c r="F19" s="12" t="str">
        <f ca="1">IF(LEN(INDIRECT(ADDRESS(ROW()-1,COLUMN())))=1,"",INDIRECT(ADDRESS(24,7))-INDIRECT(ADDRESS(24,6)))</f>
        <v/>
      </c>
      <c r="G19" s="13" t="str">
        <f ca="1">IF(LEN(INDIRECT(ADDRESS(ROW()-1,COLUMN())))=1,"",INDIRECT(ADDRESS(36,7))-INDIRECT(ADDRESS(36,6)))</f>
        <v/>
      </c>
      <c r="H19" s="13" t="str">
        <f ca="1">IF(LEN(INDIRECT(ADDRESS(ROW()-1,COLUMN())))=1,"",INDIRECT(ADDRESS(48,7))-INDIRECT(ADDRESS(48,6)))</f>
        <v/>
      </c>
      <c r="I19" s="13" t="str">
        <f ca="1">IF(LEN(INDIRECT(ADDRESS(ROW()-1,COLUMN())))=1,"",INDIRECT(ADDRESS(60,7))-INDIRECT(ADDRESS(60,6)))</f>
        <v/>
      </c>
      <c r="J19" s="13" t="str">
        <f ca="1">IF(LEN(INDIRECT(ADDRESS(ROW()-1,COLUMN())))=1,"",INDIRECT(ADDRESS(30,6))-INDIRECT(ADDRESS(30,7)))</f>
        <v/>
      </c>
      <c r="K19" s="62" t="str">
        <f ca="1">IF(LEN(INDIRECT(ADDRESS(ROW()-1,COLUMN())))=1,"",INDIRECT(ADDRESS(42,6))-INDIRECT(ADDRESS(42,7)))</f>
        <v/>
      </c>
      <c r="L19" s="62" t="str">
        <f ca="1">IF(LEN(INDIRECT(ADDRESS(ROW()-1,COLUMN())))=1,"",INDIRECT(ADDRESS(54,6))-INDIRECT(ADDRESS(54,7)))</f>
        <v/>
      </c>
      <c r="M19" s="25"/>
      <c r="N19" s="86"/>
      <c r="O19" s="13" t="str">
        <f ca="1">IF(COUNT(F19:M19)=0,"",SUM(F19:M19))</f>
        <v/>
      </c>
      <c r="P19" s="84"/>
    </row>
    <row r="20" spans="1:16">
      <c r="M20"/>
    </row>
    <row r="21" spans="1:16">
      <c r="M21"/>
    </row>
    <row r="22" spans="1:16">
      <c r="M22"/>
    </row>
    <row r="23" spans="1:16" ht="30" customHeight="1"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M23"/>
    </row>
    <row r="24" spans="1:16" ht="30" customHeight="1">
      <c r="B24" s="40">
        <v>1</v>
      </c>
      <c r="C24" s="75" t="str">
        <f ca="1">IF(ISBLANK(INDIRECT(ADDRESS(B24*2+2,3))),"",INDIRECT(ADDRESS(B24*2+2,3)))</f>
        <v>Капран-Корицкая</v>
      </c>
      <c r="D24" s="75"/>
      <c r="E24" s="76"/>
      <c r="F24" s="15"/>
      <c r="G24" s="16"/>
      <c r="H24" s="82" t="e">
        <f ca="1">IF(ISBLANK(INDIRECT(ADDRESS(K24*2+2,3))),"",INDIRECT(ADDRESS(K24*2+2,3)))</f>
        <v>#VALUE!</v>
      </c>
      <c r="I24" s="75"/>
      <c r="J24" s="75"/>
      <c r="K24" s="40">
        <v>8</v>
      </c>
      <c r="L24" s="26" t="s">
        <v>5</v>
      </c>
      <c r="M24" s="27"/>
    </row>
    <row r="25" spans="1:16" ht="30" customHeight="1">
      <c r="B25" s="40">
        <v>2</v>
      </c>
      <c r="C25" s="75" t="str">
        <f ca="1">IF(ISBLANK(INDIRECT(ADDRESS(B25*2+2,3))),"",INDIRECT(ADDRESS(B25*2+2,3)))</f>
        <v>Попов-Ерасова</v>
      </c>
      <c r="D25" s="75"/>
      <c r="E25" s="76"/>
      <c r="F25" s="15">
        <v>12</v>
      </c>
      <c r="G25" s="16">
        <v>4</v>
      </c>
      <c r="H25" s="82" t="str">
        <f ca="1">IF(ISBLANK(INDIRECT(ADDRESS(K25*2+2,3))),"",INDIRECT(ADDRESS(K25*2+2,3)))</f>
        <v>Петрова-Федоров</v>
      </c>
      <c r="I25" s="75"/>
      <c r="J25" s="75"/>
      <c r="K25" s="40">
        <v>7</v>
      </c>
      <c r="L25" s="26" t="s">
        <v>5</v>
      </c>
      <c r="M25" s="27">
        <v>4</v>
      </c>
    </row>
    <row r="26" spans="1:16" ht="30" customHeight="1">
      <c r="B26" s="40">
        <v>3</v>
      </c>
      <c r="C26" s="75" t="str">
        <f ca="1">IF(ISBLANK(INDIRECT(ADDRESS(B26*2+2,3))),"",INDIRECT(ADDRESS(B26*2+2,3)))</f>
        <v>Петров-Прокофьева</v>
      </c>
      <c r="D26" s="75"/>
      <c r="E26" s="76"/>
      <c r="F26" s="15">
        <v>6</v>
      </c>
      <c r="G26" s="16">
        <v>13</v>
      </c>
      <c r="H26" s="82" t="str">
        <f ca="1">IF(ISBLANK(INDIRECT(ADDRESS(K26*2+2,3))),"",INDIRECT(ADDRESS(K26*2+2,3)))</f>
        <v>Васин-Пахомова</v>
      </c>
      <c r="I26" s="75"/>
      <c r="J26" s="75"/>
      <c r="K26" s="40">
        <v>6</v>
      </c>
      <c r="L26" s="26" t="s">
        <v>5</v>
      </c>
      <c r="M26" s="27">
        <v>5</v>
      </c>
    </row>
    <row r="27" spans="1:16" ht="30" customHeight="1">
      <c r="B27" s="40">
        <v>4</v>
      </c>
      <c r="C27" s="75" t="str">
        <f ca="1">IF(ISBLANK(INDIRECT(ADDRESS(B27*2+2,3))),"",INDIRECT(ADDRESS(B27*2+2,3)))</f>
        <v>Круковский-Тен</v>
      </c>
      <c r="D27" s="75"/>
      <c r="E27" s="76"/>
      <c r="F27" s="15">
        <v>12</v>
      </c>
      <c r="G27" s="16">
        <v>5</v>
      </c>
      <c r="H27" s="82" t="str">
        <f ca="1">IF(ISBLANK(INDIRECT(ADDRESS(K27*2+2,3))),"",INDIRECT(ADDRESS(K27*2+2,3)))</f>
        <v>Мельшаков-Тюрикова</v>
      </c>
      <c r="I27" s="75"/>
      <c r="J27" s="75"/>
      <c r="K27" s="40">
        <v>5</v>
      </c>
      <c r="L27" s="26" t="s">
        <v>5</v>
      </c>
      <c r="M27" s="27">
        <v>6</v>
      </c>
    </row>
    <row r="28" spans="1:16" ht="30" customHeight="1"/>
    <row r="29" spans="1:16" ht="30" customHeight="1">
      <c r="B29" s="87" t="s">
        <v>10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6" ht="30" customHeight="1">
      <c r="B30" s="40">
        <v>8</v>
      </c>
      <c r="C30" s="75" t="e">
        <f ca="1">IF(ISBLANK(INDIRECT(ADDRESS(B30*2+2,3))),"",INDIRECT(ADDRESS(B30*2+2,3)))</f>
        <v>#VALUE!</v>
      </c>
      <c r="D30" s="75"/>
      <c r="E30" s="76"/>
      <c r="F30" s="15"/>
      <c r="G30" s="16"/>
      <c r="H30" s="82" t="str">
        <f ca="1">IF(ISBLANK(INDIRECT(ADDRESS(K30*2+2,3))),"",INDIRECT(ADDRESS(K30*2+2,3)))</f>
        <v>Мельшаков-Тюрикова</v>
      </c>
      <c r="I30" s="75"/>
      <c r="J30" s="75"/>
      <c r="K30" s="40">
        <v>5</v>
      </c>
      <c r="L30" s="26" t="s">
        <v>5</v>
      </c>
      <c r="M30" s="27"/>
    </row>
    <row r="31" spans="1:16" ht="30" customHeight="1">
      <c r="B31" s="40">
        <v>6</v>
      </c>
      <c r="C31" s="75" t="str">
        <f ca="1">IF(ISBLANK(INDIRECT(ADDRESS(B31*2+2,3))),"",INDIRECT(ADDRESS(B31*2+2,3)))</f>
        <v>Васин-Пахомова</v>
      </c>
      <c r="D31" s="75"/>
      <c r="E31" s="76"/>
      <c r="F31" s="15">
        <v>13</v>
      </c>
      <c r="G31" s="16">
        <v>5</v>
      </c>
      <c r="H31" s="82" t="str">
        <f ca="1">IF(ISBLANK(INDIRECT(ADDRESS(K31*2+2,3))),"",INDIRECT(ADDRESS(K31*2+2,3)))</f>
        <v>Круковский-Тен</v>
      </c>
      <c r="I31" s="75"/>
      <c r="J31" s="75"/>
      <c r="K31" s="40">
        <v>4</v>
      </c>
      <c r="L31" s="26" t="s">
        <v>5</v>
      </c>
      <c r="M31" s="27">
        <v>5</v>
      </c>
    </row>
    <row r="32" spans="1:16" ht="30" customHeight="1">
      <c r="B32" s="40">
        <v>7</v>
      </c>
      <c r="C32" s="75" t="str">
        <f ca="1">IF(ISBLANK(INDIRECT(ADDRESS(B32*2+2,3))),"",INDIRECT(ADDRESS(B32*2+2,3)))</f>
        <v>Петрова-Федоров</v>
      </c>
      <c r="D32" s="75"/>
      <c r="E32" s="76"/>
      <c r="F32" s="15">
        <v>13</v>
      </c>
      <c r="G32" s="16">
        <v>3</v>
      </c>
      <c r="H32" s="82" t="str">
        <f ca="1">IF(ISBLANK(INDIRECT(ADDRESS(K32*2+2,3))),"",INDIRECT(ADDRESS(K32*2+2,3)))</f>
        <v>Петров-Прокофьева</v>
      </c>
      <c r="I32" s="75"/>
      <c r="J32" s="75"/>
      <c r="K32" s="40">
        <v>3</v>
      </c>
      <c r="L32" s="26" t="s">
        <v>5</v>
      </c>
      <c r="M32" s="27">
        <v>6</v>
      </c>
    </row>
    <row r="33" spans="2:13" ht="30" customHeight="1">
      <c r="B33" s="40">
        <v>1</v>
      </c>
      <c r="C33" s="75" t="str">
        <f ca="1">IF(ISBLANK(INDIRECT(ADDRESS(B33*2+2,3))),"",INDIRECT(ADDRESS(B33*2+2,3)))</f>
        <v>Капран-Корицкая</v>
      </c>
      <c r="D33" s="75"/>
      <c r="E33" s="76"/>
      <c r="F33" s="15">
        <v>13</v>
      </c>
      <c r="G33" s="16">
        <v>1</v>
      </c>
      <c r="H33" s="82" t="str">
        <f ca="1">IF(ISBLANK(INDIRECT(ADDRESS(K33*2+2,3))),"",INDIRECT(ADDRESS(K33*2+2,3)))</f>
        <v>Попов-Ерасова</v>
      </c>
      <c r="I33" s="75"/>
      <c r="J33" s="75"/>
      <c r="K33" s="40">
        <v>2</v>
      </c>
      <c r="L33" s="26" t="s">
        <v>5</v>
      </c>
      <c r="M33" s="27">
        <v>1</v>
      </c>
    </row>
    <row r="34" spans="2:13" ht="30" customHeight="1"/>
    <row r="35" spans="2:13" ht="30" customHeight="1">
      <c r="B35" s="87" t="s">
        <v>11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2:13" ht="30" customHeight="1">
      <c r="B36" s="40">
        <v>2</v>
      </c>
      <c r="C36" s="75" t="str">
        <f ca="1">IF(ISBLANK(INDIRECT(ADDRESS(B36*2+2,3))),"",INDIRECT(ADDRESS(B36*2+2,3)))</f>
        <v>Попов-Ерасова</v>
      </c>
      <c r="D36" s="75"/>
      <c r="E36" s="76"/>
      <c r="F36" s="15"/>
      <c r="G36" s="16"/>
      <c r="H36" s="82" t="e">
        <f ca="1">IF(ISBLANK(INDIRECT(ADDRESS(K36*2+2,3))),"",INDIRECT(ADDRESS(K36*2+2,3)))</f>
        <v>#VALUE!</v>
      </c>
      <c r="I36" s="75"/>
      <c r="J36" s="75"/>
      <c r="K36" s="40">
        <v>8</v>
      </c>
      <c r="L36" s="26" t="s">
        <v>5</v>
      </c>
      <c r="M36" s="27"/>
    </row>
    <row r="37" spans="2:13" ht="30" customHeight="1">
      <c r="B37" s="40">
        <v>3</v>
      </c>
      <c r="C37" s="75" t="str">
        <f ca="1">IF(ISBLANK(INDIRECT(ADDRESS(B37*2+2,3))),"",INDIRECT(ADDRESS(B37*2+2,3)))</f>
        <v>Петров-Прокофьева</v>
      </c>
      <c r="D37" s="75"/>
      <c r="E37" s="76"/>
      <c r="F37" s="15">
        <v>10</v>
      </c>
      <c r="G37" s="16">
        <v>11</v>
      </c>
      <c r="H37" s="82" t="str">
        <f ca="1">IF(ISBLANK(INDIRECT(ADDRESS(K37*2+2,3))),"",INDIRECT(ADDRESS(K37*2+2,3)))</f>
        <v>Капран-Корицкая</v>
      </c>
      <c r="I37" s="75"/>
      <c r="J37" s="75"/>
      <c r="K37" s="40">
        <v>1</v>
      </c>
      <c r="L37" s="26" t="s">
        <v>5</v>
      </c>
      <c r="M37" s="27">
        <v>6</v>
      </c>
    </row>
    <row r="38" spans="2:13" ht="30" customHeight="1">
      <c r="B38" s="40">
        <v>4</v>
      </c>
      <c r="C38" s="75" t="str">
        <f ca="1">IF(ISBLANK(INDIRECT(ADDRESS(B38*2+2,3))),"",INDIRECT(ADDRESS(B38*2+2,3)))</f>
        <v>Круковский-Тен</v>
      </c>
      <c r="D38" s="75"/>
      <c r="E38" s="76"/>
      <c r="F38" s="15">
        <v>13</v>
      </c>
      <c r="G38" s="16">
        <v>9</v>
      </c>
      <c r="H38" s="82" t="str">
        <f ca="1">IF(ISBLANK(INDIRECT(ADDRESS(K38*2+2,3))),"",INDIRECT(ADDRESS(K38*2+2,3)))</f>
        <v>Петрова-Федоров</v>
      </c>
      <c r="I38" s="75"/>
      <c r="J38" s="75"/>
      <c r="K38" s="40">
        <v>7</v>
      </c>
      <c r="L38" s="26" t="s">
        <v>5</v>
      </c>
      <c r="M38" s="27">
        <v>1</v>
      </c>
    </row>
    <row r="39" spans="2:13" ht="30" customHeight="1">
      <c r="B39" s="40">
        <v>5</v>
      </c>
      <c r="C39" s="75" t="str">
        <f ca="1">IF(ISBLANK(INDIRECT(ADDRESS(B39*2+2,3))),"",INDIRECT(ADDRESS(B39*2+2,3)))</f>
        <v>Мельшаков-Тюрикова</v>
      </c>
      <c r="D39" s="75"/>
      <c r="E39" s="76"/>
      <c r="F39" s="15">
        <v>9</v>
      </c>
      <c r="G39" s="16">
        <v>6</v>
      </c>
      <c r="H39" s="82" t="str">
        <f ca="1">IF(ISBLANK(INDIRECT(ADDRESS(K39*2+2,3))),"",INDIRECT(ADDRESS(K39*2+2,3)))</f>
        <v>Васин-Пахомова</v>
      </c>
      <c r="I39" s="75"/>
      <c r="J39" s="75"/>
      <c r="K39" s="40">
        <v>6</v>
      </c>
      <c r="L39" s="26" t="s">
        <v>5</v>
      </c>
      <c r="M39" s="27">
        <v>2</v>
      </c>
    </row>
    <row r="40" spans="2:13" ht="30" customHeight="1"/>
    <row r="41" spans="2:13" ht="30" customHeight="1">
      <c r="B41" s="87" t="s">
        <v>18</v>
      </c>
      <c r="C41" s="87"/>
      <c r="D41" s="87"/>
      <c r="E41" s="87"/>
      <c r="F41" s="87"/>
      <c r="G41" s="87"/>
      <c r="H41" s="87"/>
      <c r="I41" s="87"/>
      <c r="J41" s="87"/>
      <c r="K41" s="87"/>
    </row>
    <row r="42" spans="2:13" ht="30" customHeight="1">
      <c r="B42" s="40">
        <v>8</v>
      </c>
      <c r="C42" s="75" t="e">
        <f ca="1">IF(ISBLANK(INDIRECT(ADDRESS(B42*2+2,3))),"",INDIRECT(ADDRESS(B42*2+2,3)))</f>
        <v>#VALUE!</v>
      </c>
      <c r="D42" s="75"/>
      <c r="E42" s="76"/>
      <c r="F42" s="15"/>
      <c r="G42" s="16"/>
      <c r="H42" s="82" t="str">
        <f ca="1">IF(ISBLANK(INDIRECT(ADDRESS(K42*2+2,3))),"",INDIRECT(ADDRESS(K42*2+2,3)))</f>
        <v>Васин-Пахомова</v>
      </c>
      <c r="I42" s="75"/>
      <c r="J42" s="75"/>
      <c r="K42" s="40">
        <v>6</v>
      </c>
      <c r="L42" s="26" t="s">
        <v>5</v>
      </c>
      <c r="M42" s="27"/>
    </row>
    <row r="43" spans="2:13" ht="30" customHeight="1">
      <c r="B43" s="40">
        <v>7</v>
      </c>
      <c r="C43" s="75" t="str">
        <f ca="1">IF(ISBLANK(INDIRECT(ADDRESS(B43*2+2,3))),"",INDIRECT(ADDRESS(B43*2+2,3)))</f>
        <v>Петрова-Федоров</v>
      </c>
      <c r="D43" s="75"/>
      <c r="E43" s="76"/>
      <c r="F43" s="15">
        <v>13</v>
      </c>
      <c r="G43" s="16">
        <v>4</v>
      </c>
      <c r="H43" s="82" t="str">
        <f ca="1">IF(ISBLANK(INDIRECT(ADDRESS(K43*2+2,3))),"",INDIRECT(ADDRESS(K43*2+2,3)))</f>
        <v>Мельшаков-Тюрикова</v>
      </c>
      <c r="I43" s="75"/>
      <c r="J43" s="75"/>
      <c r="K43" s="40">
        <v>5</v>
      </c>
      <c r="L43" s="26" t="s">
        <v>5</v>
      </c>
      <c r="M43" s="27">
        <v>1</v>
      </c>
    </row>
    <row r="44" spans="2:13" ht="30" customHeight="1">
      <c r="B44" s="40">
        <v>1</v>
      </c>
      <c r="C44" s="75" t="str">
        <f ca="1">IF(ISBLANK(INDIRECT(ADDRESS(B44*2+2,3))),"",INDIRECT(ADDRESS(B44*2+2,3)))</f>
        <v>Капран-Корицкая</v>
      </c>
      <c r="D44" s="75"/>
      <c r="E44" s="76"/>
      <c r="F44" s="15">
        <v>13</v>
      </c>
      <c r="G44" s="16">
        <v>12</v>
      </c>
      <c r="H44" s="82" t="str">
        <f ca="1">IF(ISBLANK(INDIRECT(ADDRESS(K44*2+2,3))),"",INDIRECT(ADDRESS(K44*2+2,3)))</f>
        <v>Круковский-Тен</v>
      </c>
      <c r="I44" s="75"/>
      <c r="J44" s="75"/>
      <c r="K44" s="40">
        <v>4</v>
      </c>
      <c r="L44" s="26" t="s">
        <v>5</v>
      </c>
      <c r="M44" s="27">
        <v>2</v>
      </c>
    </row>
    <row r="45" spans="2:13" ht="30" customHeight="1">
      <c r="B45" s="40">
        <v>2</v>
      </c>
      <c r="C45" s="75" t="str">
        <f ca="1">IF(ISBLANK(INDIRECT(ADDRESS(B45*2+2,3))),"",INDIRECT(ADDRESS(B45*2+2,3)))</f>
        <v>Попов-Ерасова</v>
      </c>
      <c r="D45" s="75"/>
      <c r="E45" s="76"/>
      <c r="F45" s="15">
        <v>5</v>
      </c>
      <c r="G45" s="16">
        <v>11</v>
      </c>
      <c r="H45" s="82" t="str">
        <f ca="1">IF(ISBLANK(INDIRECT(ADDRESS(K45*2+2,3))),"",INDIRECT(ADDRESS(K45*2+2,3)))</f>
        <v>Петров-Прокофьева</v>
      </c>
      <c r="I45" s="75"/>
      <c r="J45" s="75"/>
      <c r="K45" s="40">
        <v>3</v>
      </c>
      <c r="L45" s="26" t="s">
        <v>5</v>
      </c>
      <c r="M45" s="27">
        <v>3</v>
      </c>
    </row>
    <row r="46" spans="2:13" ht="30" customHeight="1"/>
    <row r="47" spans="2:13" ht="30" customHeight="1">
      <c r="B47" s="87" t="s">
        <v>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2:13" ht="30" customHeight="1">
      <c r="B48" s="40">
        <v>3</v>
      </c>
      <c r="C48" s="75" t="str">
        <f ca="1">IF(ISBLANK(INDIRECT(ADDRESS(B48*2+2,3))),"",INDIRECT(ADDRESS(B48*2+2,3)))</f>
        <v>Петров-Прокофьева</v>
      </c>
      <c r="D48" s="75"/>
      <c r="E48" s="76"/>
      <c r="F48" s="15"/>
      <c r="G48" s="16"/>
      <c r="H48" s="82" t="e">
        <f ca="1">IF(ISBLANK(INDIRECT(ADDRESS(K48*2+2,3))),"",INDIRECT(ADDRESS(K48*2+2,3)))</f>
        <v>#VALUE!</v>
      </c>
      <c r="I48" s="75"/>
      <c r="J48" s="75"/>
      <c r="K48" s="40">
        <v>8</v>
      </c>
      <c r="L48" s="26" t="s">
        <v>5</v>
      </c>
      <c r="M48" s="27"/>
    </row>
    <row r="49" spans="2:13" ht="30" customHeight="1">
      <c r="B49" s="40">
        <v>4</v>
      </c>
      <c r="C49" s="75" t="str">
        <f ca="1">IF(ISBLANK(INDIRECT(ADDRESS(B49*2+2,3))),"",INDIRECT(ADDRESS(B49*2+2,3)))</f>
        <v>Круковский-Тен</v>
      </c>
      <c r="D49" s="75"/>
      <c r="E49" s="76"/>
      <c r="F49" s="15">
        <v>10</v>
      </c>
      <c r="G49" s="16">
        <v>6</v>
      </c>
      <c r="H49" s="82" t="str">
        <f ca="1">IF(ISBLANK(INDIRECT(ADDRESS(K49*2+2,3))),"",INDIRECT(ADDRESS(K49*2+2,3)))</f>
        <v>Попов-Ерасова</v>
      </c>
      <c r="I49" s="75"/>
      <c r="J49" s="75"/>
      <c r="K49" s="40">
        <v>2</v>
      </c>
      <c r="L49" s="26" t="s">
        <v>5</v>
      </c>
      <c r="M49" s="27">
        <v>2</v>
      </c>
    </row>
    <row r="50" spans="2:13" ht="30" customHeight="1">
      <c r="B50" s="40">
        <v>5</v>
      </c>
      <c r="C50" s="75" t="str">
        <f ca="1">IF(ISBLANK(INDIRECT(ADDRESS(B50*2+2,3))),"",INDIRECT(ADDRESS(B50*2+2,3)))</f>
        <v>Мельшаков-Тюрикова</v>
      </c>
      <c r="D50" s="75"/>
      <c r="E50" s="76"/>
      <c r="F50" s="15">
        <v>2</v>
      </c>
      <c r="G50" s="16">
        <v>13</v>
      </c>
      <c r="H50" s="82" t="str">
        <f ca="1">IF(ISBLANK(INDIRECT(ADDRESS(K50*2+2,3))),"",INDIRECT(ADDRESS(K50*2+2,3)))</f>
        <v>Капран-Корицкая</v>
      </c>
      <c r="I50" s="75"/>
      <c r="J50" s="75"/>
      <c r="K50" s="40">
        <v>1</v>
      </c>
      <c r="L50" s="26" t="s">
        <v>5</v>
      </c>
      <c r="M50" s="27">
        <v>3</v>
      </c>
    </row>
    <row r="51" spans="2:13" ht="30" customHeight="1">
      <c r="B51" s="40">
        <v>6</v>
      </c>
      <c r="C51" s="75" t="str">
        <f ca="1">IF(ISBLANK(INDIRECT(ADDRESS(B51*2+2,3))),"",INDIRECT(ADDRESS(B51*2+2,3)))</f>
        <v>Васин-Пахомова</v>
      </c>
      <c r="D51" s="75"/>
      <c r="E51" s="76"/>
      <c r="F51" s="15">
        <v>13</v>
      </c>
      <c r="G51" s="16">
        <v>6</v>
      </c>
      <c r="H51" s="82" t="str">
        <f ca="1">IF(ISBLANK(INDIRECT(ADDRESS(K51*2+2,3))),"",INDIRECT(ADDRESS(K51*2+2,3)))</f>
        <v>Петрова-Федоров</v>
      </c>
      <c r="I51" s="75"/>
      <c r="J51" s="75"/>
      <c r="K51" s="40">
        <v>7</v>
      </c>
      <c r="L51" s="26" t="s">
        <v>5</v>
      </c>
      <c r="M51" s="27">
        <v>4</v>
      </c>
    </row>
    <row r="52" spans="2:13" ht="30" customHeight="1"/>
    <row r="53" spans="2:13" ht="30" customHeight="1">
      <c r="B53" s="87" t="s">
        <v>27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2:13" ht="30" customHeight="1">
      <c r="B54" s="40">
        <v>8</v>
      </c>
      <c r="C54" s="75" t="e">
        <f ca="1">IF(ISBLANK(INDIRECT(ADDRESS(B54*2+2,3))),"",INDIRECT(ADDRESS(B54*2+2,3)))</f>
        <v>#VALUE!</v>
      </c>
      <c r="D54" s="75"/>
      <c r="E54" s="76"/>
      <c r="F54" s="15"/>
      <c r="G54" s="16"/>
      <c r="H54" s="82" t="str">
        <f ca="1">IF(ISBLANK(INDIRECT(ADDRESS(K54*2+2,3))),"",INDIRECT(ADDRESS(K54*2+2,3)))</f>
        <v>Петрова-Федоров</v>
      </c>
      <c r="I54" s="75"/>
      <c r="J54" s="75"/>
      <c r="K54" s="40">
        <v>7</v>
      </c>
      <c r="L54" s="26" t="s">
        <v>5</v>
      </c>
      <c r="M54" s="27"/>
    </row>
    <row r="55" spans="2:13" ht="30" customHeight="1">
      <c r="B55" s="40">
        <v>1</v>
      </c>
      <c r="C55" s="75" t="str">
        <f ca="1">IF(ISBLANK(INDIRECT(ADDRESS(B55*2+2,3))),"",INDIRECT(ADDRESS(B55*2+2,3)))</f>
        <v>Капран-Корицкая</v>
      </c>
      <c r="D55" s="75"/>
      <c r="E55" s="76"/>
      <c r="F55" s="15">
        <v>13</v>
      </c>
      <c r="G55" s="16">
        <v>1</v>
      </c>
      <c r="H55" s="82" t="str">
        <f ca="1">IF(ISBLANK(INDIRECT(ADDRESS(K55*2+2,3))),"",INDIRECT(ADDRESS(K55*2+2,3)))</f>
        <v>Васин-Пахомова</v>
      </c>
      <c r="I55" s="75"/>
      <c r="J55" s="75"/>
      <c r="K55" s="40">
        <v>6</v>
      </c>
      <c r="L55" s="26" t="s">
        <v>5</v>
      </c>
      <c r="M55" s="27">
        <v>3</v>
      </c>
    </row>
    <row r="56" spans="2:13" ht="30" customHeight="1">
      <c r="B56" s="40">
        <v>2</v>
      </c>
      <c r="C56" s="75" t="str">
        <f ca="1">IF(ISBLANK(INDIRECT(ADDRESS(B56*2+2,3))),"",INDIRECT(ADDRESS(B56*2+2,3)))</f>
        <v>Попов-Ерасова</v>
      </c>
      <c r="D56" s="75"/>
      <c r="E56" s="76"/>
      <c r="F56" s="15">
        <v>9</v>
      </c>
      <c r="G56" s="16">
        <v>5</v>
      </c>
      <c r="H56" s="82" t="str">
        <f ca="1">IF(ISBLANK(INDIRECT(ADDRESS(K56*2+2,3))),"",INDIRECT(ADDRESS(K56*2+2,3)))</f>
        <v>Мельшаков-Тюрикова</v>
      </c>
      <c r="I56" s="75"/>
      <c r="J56" s="75"/>
      <c r="K56" s="40">
        <v>5</v>
      </c>
      <c r="L56" s="26" t="s">
        <v>5</v>
      </c>
      <c r="M56" s="27">
        <v>4</v>
      </c>
    </row>
    <row r="57" spans="2:13" ht="30" customHeight="1">
      <c r="B57" s="40">
        <v>3</v>
      </c>
      <c r="C57" s="75" t="str">
        <f ca="1">IF(ISBLANK(INDIRECT(ADDRESS(B57*2+2,3))),"",INDIRECT(ADDRESS(B57*2+2,3)))</f>
        <v>Петров-Прокофьева</v>
      </c>
      <c r="D57" s="75"/>
      <c r="E57" s="76"/>
      <c r="F57" s="15">
        <v>9</v>
      </c>
      <c r="G57" s="16">
        <v>13</v>
      </c>
      <c r="H57" s="82" t="str">
        <f ca="1">IF(ISBLANK(INDIRECT(ADDRESS(K57*2+2,3))),"",INDIRECT(ADDRESS(K57*2+2,3)))</f>
        <v>Круковский-Тен</v>
      </c>
      <c r="I57" s="75"/>
      <c r="J57" s="75"/>
      <c r="K57" s="40">
        <v>4</v>
      </c>
      <c r="L57" s="26" t="s">
        <v>5</v>
      </c>
      <c r="M57" s="27">
        <v>5</v>
      </c>
    </row>
    <row r="58" spans="2:13" ht="30" customHeight="1"/>
    <row r="59" spans="2:13" ht="30" customHeight="1">
      <c r="B59" s="87" t="s">
        <v>28</v>
      </c>
      <c r="C59" s="87"/>
      <c r="D59" s="87"/>
      <c r="E59" s="87"/>
      <c r="F59" s="87"/>
      <c r="G59" s="87"/>
      <c r="H59" s="87"/>
      <c r="I59" s="87"/>
      <c r="J59" s="87"/>
      <c r="K59" s="87"/>
    </row>
    <row r="60" spans="2:13" ht="30" customHeight="1">
      <c r="B60" s="40">
        <v>4</v>
      </c>
      <c r="C60" s="75" t="str">
        <f ca="1">IF(ISBLANK(INDIRECT(ADDRESS(B60*2+2,3))),"",INDIRECT(ADDRESS(B60*2+2,3)))</f>
        <v>Круковский-Тен</v>
      </c>
      <c r="D60" s="75"/>
      <c r="E60" s="76"/>
      <c r="F60" s="15"/>
      <c r="G60" s="16"/>
      <c r="H60" s="82" t="e">
        <f ca="1">IF(ISBLANK(INDIRECT(ADDRESS(K60*2+2,3))),"",INDIRECT(ADDRESS(K60*2+2,3)))</f>
        <v>#VALUE!</v>
      </c>
      <c r="I60" s="75"/>
      <c r="J60" s="75"/>
      <c r="K60" s="40">
        <v>8</v>
      </c>
      <c r="L60" s="26" t="s">
        <v>5</v>
      </c>
      <c r="M60" s="27"/>
    </row>
    <row r="61" spans="2:13" ht="30" customHeight="1">
      <c r="B61" s="40">
        <v>5</v>
      </c>
      <c r="C61" s="75" t="str">
        <f ca="1">IF(ISBLANK(INDIRECT(ADDRESS(B61*2+2,3))),"",INDIRECT(ADDRESS(B61*2+2,3)))</f>
        <v>Мельшаков-Тюрикова</v>
      </c>
      <c r="D61" s="75"/>
      <c r="E61" s="76"/>
      <c r="F61" s="15">
        <v>5</v>
      </c>
      <c r="G61" s="16">
        <v>11</v>
      </c>
      <c r="H61" s="82" t="str">
        <f ca="1">IF(ISBLANK(INDIRECT(ADDRESS(K61*2+2,3))),"",INDIRECT(ADDRESS(K61*2+2,3)))</f>
        <v>Петров-Прокофьева</v>
      </c>
      <c r="I61" s="75"/>
      <c r="J61" s="75"/>
      <c r="K61" s="40">
        <v>3</v>
      </c>
      <c r="L61" s="26" t="s">
        <v>5</v>
      </c>
      <c r="M61" s="27">
        <v>4</v>
      </c>
    </row>
    <row r="62" spans="2:13" ht="30" customHeight="1">
      <c r="B62" s="40">
        <v>6</v>
      </c>
      <c r="C62" s="75" t="str">
        <f ca="1">IF(ISBLANK(INDIRECT(ADDRESS(B62*2+2,3))),"",INDIRECT(ADDRESS(B62*2+2,3)))</f>
        <v>Васин-Пахомова</v>
      </c>
      <c r="D62" s="75"/>
      <c r="E62" s="76"/>
      <c r="F62" s="15">
        <v>13</v>
      </c>
      <c r="G62" s="16">
        <v>4</v>
      </c>
      <c r="H62" s="82" t="str">
        <f ca="1">IF(ISBLANK(INDIRECT(ADDRESS(K62*2+2,3))),"",INDIRECT(ADDRESS(K62*2+2,3)))</f>
        <v>Попов-Ерасова</v>
      </c>
      <c r="I62" s="75"/>
      <c r="J62" s="75"/>
      <c r="K62" s="40">
        <v>2</v>
      </c>
      <c r="L62" s="26" t="s">
        <v>5</v>
      </c>
      <c r="M62" s="27">
        <v>5</v>
      </c>
    </row>
    <row r="63" spans="2:13" ht="30" customHeight="1">
      <c r="B63" s="40">
        <v>7</v>
      </c>
      <c r="C63" s="75" t="str">
        <f ca="1">IF(ISBLANK(INDIRECT(ADDRESS(B63*2+2,3))),"",INDIRECT(ADDRESS(B63*2+2,3)))</f>
        <v>Петрова-Федоров</v>
      </c>
      <c r="D63" s="75"/>
      <c r="E63" s="76"/>
      <c r="F63" s="15">
        <v>3</v>
      </c>
      <c r="G63" s="16">
        <v>13</v>
      </c>
      <c r="H63" s="82" t="str">
        <f ca="1">IF(ISBLANK(INDIRECT(ADDRESS(K63*2+2,3))),"",INDIRECT(ADDRESS(K63*2+2,3)))</f>
        <v>Капран-Корицкая</v>
      </c>
      <c r="I63" s="75"/>
      <c r="J63" s="75"/>
      <c r="K63" s="40">
        <v>1</v>
      </c>
      <c r="L63" s="26" t="s">
        <v>5</v>
      </c>
      <c r="M63" s="27">
        <v>6</v>
      </c>
    </row>
  </sheetData>
  <sheetCalcPr fullCalcOnLoad="1"/>
  <mergeCells count="97">
    <mergeCell ref="B10:B11"/>
    <mergeCell ref="B12:B13"/>
    <mergeCell ref="B14:B15"/>
    <mergeCell ref="B16:B17"/>
    <mergeCell ref="C30:E30"/>
    <mergeCell ref="H30:J30"/>
    <mergeCell ref="C27:E27"/>
    <mergeCell ref="H27:J27"/>
    <mergeCell ref="C26:E26"/>
    <mergeCell ref="H26:J26"/>
    <mergeCell ref="B29:K29"/>
    <mergeCell ref="B1:K1"/>
    <mergeCell ref="C3:E3"/>
    <mergeCell ref="B23:K23"/>
    <mergeCell ref="C24:E24"/>
    <mergeCell ref="H24:J24"/>
    <mergeCell ref="B4:B5"/>
    <mergeCell ref="B6:B7"/>
    <mergeCell ref="B8:B9"/>
    <mergeCell ref="B18:B19"/>
    <mergeCell ref="C4:E5"/>
    <mergeCell ref="C6:E7"/>
    <mergeCell ref="C8:E9"/>
    <mergeCell ref="C25:E25"/>
    <mergeCell ref="H25:J25"/>
    <mergeCell ref="C10:E11"/>
    <mergeCell ref="C12:E13"/>
    <mergeCell ref="C14:E15"/>
    <mergeCell ref="C16:E17"/>
    <mergeCell ref="C18:E19"/>
    <mergeCell ref="C31:E31"/>
    <mergeCell ref="H31:J31"/>
    <mergeCell ref="C38:E38"/>
    <mergeCell ref="H38:J38"/>
    <mergeCell ref="C32:E32"/>
    <mergeCell ref="H32:J32"/>
    <mergeCell ref="C33:E33"/>
    <mergeCell ref="H33:J33"/>
    <mergeCell ref="B35:K35"/>
    <mergeCell ref="C36:E36"/>
    <mergeCell ref="H36:J36"/>
    <mergeCell ref="C37:E37"/>
    <mergeCell ref="H37:J37"/>
    <mergeCell ref="C45:E45"/>
    <mergeCell ref="H45:J45"/>
    <mergeCell ref="C39:E39"/>
    <mergeCell ref="H39:J39"/>
    <mergeCell ref="B41:K41"/>
    <mergeCell ref="C42:E42"/>
    <mergeCell ref="H42:J42"/>
    <mergeCell ref="C43:E43"/>
    <mergeCell ref="H43:J43"/>
    <mergeCell ref="C48:E48"/>
    <mergeCell ref="H48:J48"/>
    <mergeCell ref="C50:E50"/>
    <mergeCell ref="H50:J50"/>
    <mergeCell ref="C51:E51"/>
    <mergeCell ref="H51:J51"/>
    <mergeCell ref="B53:K53"/>
    <mergeCell ref="C44:E44"/>
    <mergeCell ref="H44:J44"/>
    <mergeCell ref="B47:K47"/>
    <mergeCell ref="C49:E49"/>
    <mergeCell ref="H49:J49"/>
    <mergeCell ref="C63:E63"/>
    <mergeCell ref="H63:J63"/>
    <mergeCell ref="C57:E57"/>
    <mergeCell ref="H57:J57"/>
    <mergeCell ref="B59:K59"/>
    <mergeCell ref="C60:E60"/>
    <mergeCell ref="H60:J60"/>
    <mergeCell ref="C61:E61"/>
    <mergeCell ref="H61:J61"/>
    <mergeCell ref="C62:E62"/>
    <mergeCell ref="H62:J62"/>
    <mergeCell ref="C54:E54"/>
    <mergeCell ref="H54:J54"/>
    <mergeCell ref="C55:E55"/>
    <mergeCell ref="H55:J55"/>
    <mergeCell ref="C56:E56"/>
    <mergeCell ref="H56:J56"/>
    <mergeCell ref="P16:P17"/>
    <mergeCell ref="P18:P19"/>
    <mergeCell ref="P14:P15"/>
    <mergeCell ref="N16:N17"/>
    <mergeCell ref="N18:N19"/>
    <mergeCell ref="N14:N15"/>
    <mergeCell ref="P4:P5"/>
    <mergeCell ref="P6:P7"/>
    <mergeCell ref="P8:P9"/>
    <mergeCell ref="P10:P11"/>
    <mergeCell ref="P12:P13"/>
    <mergeCell ref="N12:N13"/>
    <mergeCell ref="N4:N5"/>
    <mergeCell ref="N6:N7"/>
    <mergeCell ref="N8:N9"/>
    <mergeCell ref="N10:N11"/>
  </mergeCells>
  <phoneticPr fontId="9" type="noConversion"/>
  <printOptions horizontalCentered="1"/>
  <pageMargins left="0.31496062992126" right="0.31496062992126" top="0.35433070866141703" bottom="0.55118110236220497" header="0.31496062992126" footer="0.31496062992126"/>
  <pageSetup paperSize="9" scale="4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0"/>
  <sheetViews>
    <sheetView topLeftCell="A13" workbookViewId="0">
      <selection activeCell="F52" sqref="F52"/>
    </sheetView>
  </sheetViews>
  <sheetFormatPr defaultRowHeight="15" customHeight="1"/>
  <cols>
    <col min="1" max="1" width="9.140625" style="30"/>
    <col min="2" max="16384" width="9.140625" style="27"/>
  </cols>
  <sheetData>
    <row r="1" spans="2:13" s="27" customFormat="1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3" s="27" customFormat="1" ht="15" customHeight="1">
      <c r="C2" s="34"/>
    </row>
    <row r="3" spans="2:13" s="27" customFormat="1" ht="15" customHeight="1">
      <c r="C3" s="34"/>
    </row>
    <row r="4" spans="2:13" s="27" customFormat="1" ht="15" customHeight="1">
      <c r="B4" s="107" t="s">
        <v>45</v>
      </c>
      <c r="C4" s="108"/>
      <c r="D4" s="31">
        <v>13</v>
      </c>
      <c r="E4" s="32"/>
    </row>
    <row r="5" spans="2:13" s="27" customFormat="1" ht="15" customHeight="1">
      <c r="C5" s="34"/>
      <c r="E5" s="33"/>
    </row>
    <row r="6" spans="2:13" s="27" customFormat="1" ht="15" customHeight="1">
      <c r="B6" s="26" t="s">
        <v>5</v>
      </c>
      <c r="C6" s="34"/>
      <c r="E6" s="35"/>
      <c r="F6" s="109" t="str">
        <f>IF(ISBLANK(D4),"",IF(D4&gt;D8,B4,B8))</f>
        <v>Анухин - Симутина</v>
      </c>
      <c r="G6" s="108"/>
      <c r="H6" s="31">
        <v>13</v>
      </c>
      <c r="I6" s="32"/>
    </row>
    <row r="7" spans="2:13" s="27" customFormat="1" ht="15" customHeight="1">
      <c r="C7" s="34"/>
      <c r="E7" s="35"/>
      <c r="I7" s="33"/>
    </row>
    <row r="8" spans="2:13" s="27" customFormat="1" ht="15" customHeight="1">
      <c r="B8" s="107" t="s">
        <v>46</v>
      </c>
      <c r="C8" s="108"/>
      <c r="D8" s="31">
        <v>0</v>
      </c>
      <c r="E8" s="36"/>
      <c r="I8" s="35"/>
    </row>
    <row r="9" spans="2:13" s="27" customFormat="1" ht="15" customHeight="1">
      <c r="C9" s="34"/>
      <c r="I9" s="35"/>
    </row>
    <row r="10" spans="2:13" s="27" customFormat="1" ht="15" customHeight="1">
      <c r="C10" s="34"/>
      <c r="G10" s="26" t="s">
        <v>5</v>
      </c>
      <c r="H10" s="34"/>
      <c r="I10" s="35"/>
      <c r="J10" s="109" t="str">
        <f>IF(ISBLANK(H6),"",IF(H6&gt;H14,F6,F14))</f>
        <v>Анухин - Симутина</v>
      </c>
      <c r="K10" s="107"/>
      <c r="L10" s="31">
        <v>13</v>
      </c>
      <c r="M10" s="32"/>
    </row>
    <row r="11" spans="2:13" s="27" customFormat="1" ht="15" customHeight="1">
      <c r="C11" s="34"/>
      <c r="I11" s="35"/>
      <c r="M11" s="33"/>
    </row>
    <row r="12" spans="2:13" s="27" customFormat="1" ht="15" customHeight="1">
      <c r="B12" s="107" t="s">
        <v>47</v>
      </c>
      <c r="C12" s="108"/>
      <c r="D12" s="31">
        <v>3</v>
      </c>
      <c r="E12" s="32"/>
      <c r="I12" s="35"/>
      <c r="M12" s="35"/>
    </row>
    <row r="13" spans="2:13" s="27" customFormat="1" ht="15" customHeight="1">
      <c r="C13" s="34"/>
      <c r="E13" s="33"/>
      <c r="I13" s="35"/>
      <c r="M13" s="35"/>
    </row>
    <row r="14" spans="2:13" s="27" customFormat="1" ht="15" customHeight="1">
      <c r="B14" s="26" t="s">
        <v>5</v>
      </c>
      <c r="C14" s="34"/>
      <c r="E14" s="35"/>
      <c r="F14" s="109" t="str">
        <f>IF(ISBLANK(D12),"",IF(D12&gt;D16,B12,B16))</f>
        <v>Прокофьев - Румянцева</v>
      </c>
      <c r="G14" s="108"/>
      <c r="H14" s="31">
        <v>9</v>
      </c>
      <c r="I14" s="36"/>
      <c r="M14" s="35"/>
    </row>
    <row r="15" spans="2:13" s="27" customFormat="1" ht="15" customHeight="1">
      <c r="E15" s="35"/>
      <c r="M15" s="35"/>
    </row>
    <row r="16" spans="2:13" s="27" customFormat="1" ht="15" customHeight="1">
      <c r="B16" s="107" t="s">
        <v>48</v>
      </c>
      <c r="C16" s="108"/>
      <c r="D16" s="31">
        <v>13</v>
      </c>
      <c r="E16" s="36"/>
      <c r="M16" s="35"/>
    </row>
    <row r="17" spans="2:15" s="27" customFormat="1" ht="15" customHeight="1">
      <c r="M17" s="35"/>
    </row>
    <row r="18" spans="2:15" s="27" customFormat="1" ht="15" customHeight="1">
      <c r="B18" s="26"/>
      <c r="K18" s="26" t="s">
        <v>5</v>
      </c>
      <c r="L18" s="34"/>
      <c r="M18" s="35"/>
      <c r="N18" s="109" t="str">
        <f>IF(ISBLANK(L10),"",IF(L10&gt;L26,J10,J26))</f>
        <v>Анухин - Симутина</v>
      </c>
      <c r="O18" s="107"/>
    </row>
    <row r="19" spans="2:15" s="27" customFormat="1" ht="15" customHeight="1">
      <c r="M19" s="35"/>
    </row>
    <row r="20" spans="2:15" s="27" customFormat="1" ht="15" customHeight="1">
      <c r="B20" s="107" t="s">
        <v>40</v>
      </c>
      <c r="C20" s="108"/>
      <c r="D20" s="31">
        <v>13</v>
      </c>
      <c r="E20" s="32"/>
      <c r="M20" s="35"/>
    </row>
    <row r="21" spans="2:15" s="27" customFormat="1" ht="15" customHeight="1">
      <c r="E21" s="33"/>
      <c r="M21" s="35"/>
    </row>
    <row r="22" spans="2:15" s="27" customFormat="1" ht="15" customHeight="1">
      <c r="B22" s="26" t="s">
        <v>5</v>
      </c>
      <c r="C22" s="34"/>
      <c r="E22" s="35"/>
      <c r="F22" s="109" t="str">
        <f>IF(ISBLANK(D20),"",IF(D20&gt;D24,B20,B24))</f>
        <v>Круковский-Тен</v>
      </c>
      <c r="G22" s="108"/>
      <c r="H22" s="31">
        <v>6</v>
      </c>
      <c r="I22" s="32"/>
      <c r="M22" s="35"/>
    </row>
    <row r="23" spans="2:15" s="27" customFormat="1" ht="15" customHeight="1">
      <c r="E23" s="35"/>
      <c r="I23" s="33"/>
      <c r="M23" s="35"/>
    </row>
    <row r="24" spans="2:15" s="27" customFormat="1" ht="15" customHeight="1">
      <c r="B24" s="107" t="s">
        <v>33</v>
      </c>
      <c r="C24" s="108"/>
      <c r="D24" s="31">
        <v>3</v>
      </c>
      <c r="E24" s="36"/>
      <c r="I24" s="35"/>
      <c r="M24" s="35"/>
    </row>
    <row r="25" spans="2:15" s="27" customFormat="1" ht="15" customHeight="1">
      <c r="I25" s="35"/>
      <c r="M25" s="35"/>
    </row>
    <row r="26" spans="2:15" s="27" customFormat="1" ht="15" customHeight="1">
      <c r="G26" s="26" t="s">
        <v>5</v>
      </c>
      <c r="H26" s="34"/>
      <c r="I26" s="35"/>
      <c r="J26" s="109" t="str">
        <f>IF(ISBLANK(H22),"",IF(H22&gt;H30,F22,F30))</f>
        <v>Капран-Корицская</v>
      </c>
      <c r="K26" s="108"/>
      <c r="L26" s="31">
        <v>5</v>
      </c>
      <c r="M26" s="36"/>
    </row>
    <row r="27" spans="2:15" s="27" customFormat="1" ht="15" customHeight="1">
      <c r="I27" s="35"/>
    </row>
    <row r="28" spans="2:15" s="27" customFormat="1" ht="15" customHeight="1">
      <c r="B28" s="107" t="s">
        <v>49</v>
      </c>
      <c r="C28" s="108"/>
      <c r="D28" s="31">
        <v>11</v>
      </c>
      <c r="E28" s="32"/>
      <c r="I28" s="35"/>
    </row>
    <row r="29" spans="2:15" s="27" customFormat="1" ht="15" customHeight="1">
      <c r="E29" s="33"/>
      <c r="I29" s="35"/>
    </row>
    <row r="30" spans="2:15" s="27" customFormat="1" ht="15" customHeight="1">
      <c r="B30" s="26" t="s">
        <v>5</v>
      </c>
      <c r="C30" s="34"/>
      <c r="E30" s="35"/>
      <c r="F30" s="109" t="str">
        <f>IF(ISBLANK(D28),"",IF(D28&gt;D32,B28,B32))</f>
        <v>Капран-Корицская</v>
      </c>
      <c r="G30" s="108"/>
      <c r="H30" s="31">
        <v>13</v>
      </c>
      <c r="I30" s="36"/>
    </row>
    <row r="31" spans="2:15" s="27" customFormat="1" ht="15" customHeight="1">
      <c r="E31" s="35"/>
    </row>
    <row r="32" spans="2:15" s="27" customFormat="1" ht="15" customHeight="1">
      <c r="B32" s="107" t="s">
        <v>50</v>
      </c>
      <c r="C32" s="108"/>
      <c r="D32" s="31">
        <v>9</v>
      </c>
      <c r="E32" s="36"/>
    </row>
    <row r="36" spans="2:7" s="27" customFormat="1" ht="15" customHeight="1">
      <c r="B36" s="107" t="str">
        <f>IF(ISBLANK(H6),"",IF(H6&gt;H14,F14,F6))</f>
        <v>Прокофьев - Румянцева</v>
      </c>
      <c r="C36" s="108"/>
      <c r="D36" s="31">
        <v>13</v>
      </c>
      <c r="E36" s="32"/>
      <c r="F36" s="106"/>
      <c r="G36" s="106"/>
    </row>
    <row r="37" spans="2:7" s="27" customFormat="1" ht="15" customHeight="1">
      <c r="E37" s="33"/>
    </row>
    <row r="38" spans="2:7" s="27" customFormat="1" ht="15" customHeight="1">
      <c r="C38" s="26" t="s">
        <v>5</v>
      </c>
      <c r="E38" s="35"/>
      <c r="F38" s="109" t="str">
        <f>IF(ISBLANK(D36),"",IF(D36&gt;D40,B36,B40))</f>
        <v>Прокофьев - Румянцева</v>
      </c>
      <c r="G38" s="107"/>
    </row>
    <row r="39" spans="2:7" s="27" customFormat="1" ht="15" customHeight="1">
      <c r="E39" s="35"/>
    </row>
    <row r="40" spans="2:7" s="27" customFormat="1" ht="15" customHeight="1">
      <c r="B40" s="107" t="str">
        <f>IF(ISBLANK(H22),"",IF(H22&gt;H30,F30,F22))</f>
        <v>Круковский-Тен</v>
      </c>
      <c r="C40" s="108"/>
      <c r="D40" s="31">
        <v>4</v>
      </c>
      <c r="E40" s="36"/>
    </row>
  </sheetData>
  <mergeCells count="20">
    <mergeCell ref="B32:C32"/>
    <mergeCell ref="B36:C36"/>
    <mergeCell ref="B12:C12"/>
    <mergeCell ref="F14:G14"/>
    <mergeCell ref="B16:C16"/>
    <mergeCell ref="B1:K1"/>
    <mergeCell ref="B4:C4"/>
    <mergeCell ref="F6:G6"/>
    <mergeCell ref="B8:C8"/>
    <mergeCell ref="J10:K10"/>
    <mergeCell ref="F36:G36"/>
    <mergeCell ref="B20:C20"/>
    <mergeCell ref="F38:G38"/>
    <mergeCell ref="N18:O18"/>
    <mergeCell ref="B40:C40"/>
    <mergeCell ref="F22:G22"/>
    <mergeCell ref="B24:C24"/>
    <mergeCell ref="J26:K26"/>
    <mergeCell ref="B28:C28"/>
    <mergeCell ref="F30:G30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78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5"/>
  <sheetViews>
    <sheetView workbookViewId="0">
      <selection activeCell="H10" sqref="H10"/>
    </sheetView>
  </sheetViews>
  <sheetFormatPr defaultRowHeight="15" customHeight="1"/>
  <cols>
    <col min="1" max="1" width="9.140625" style="30"/>
    <col min="2" max="16384" width="9.140625" style="27"/>
  </cols>
  <sheetData>
    <row r="1" spans="2:15" s="27" customFormat="1" ht="59.25" customHeight="1"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15" s="27" customFormat="1" ht="15" customHeight="1">
      <c r="C2" s="34"/>
    </row>
    <row r="3" spans="2:15" s="27" customFormat="1" ht="15" customHeight="1">
      <c r="C3" s="34"/>
    </row>
    <row r="4" spans="2:15" s="27" customFormat="1" ht="15" customHeight="1">
      <c r="B4" s="107" t="s">
        <v>51</v>
      </c>
      <c r="C4" s="108"/>
      <c r="D4" s="31">
        <v>5</v>
      </c>
      <c r="E4" s="32"/>
    </row>
    <row r="5" spans="2:15" s="27" customFormat="1" ht="15" customHeight="1">
      <c r="C5" s="34"/>
      <c r="E5" s="33"/>
    </row>
    <row r="6" spans="2:15" s="27" customFormat="1" ht="15" customHeight="1">
      <c r="B6" s="26" t="s">
        <v>5</v>
      </c>
      <c r="C6" s="34"/>
      <c r="E6" s="35"/>
      <c r="F6" s="109" t="str">
        <f>IF(ISBLANK(D4),"",IF(D4&gt;D8,B4,B8))</f>
        <v>Васин-Пахомова</v>
      </c>
      <c r="G6" s="108"/>
      <c r="H6" s="31">
        <v>12</v>
      </c>
      <c r="I6" s="32"/>
    </row>
    <row r="7" spans="2:15" s="27" customFormat="1" ht="15" customHeight="1">
      <c r="C7" s="34"/>
      <c r="E7" s="35"/>
      <c r="I7" s="33"/>
    </row>
    <row r="8" spans="2:15" s="27" customFormat="1" ht="15" customHeight="1">
      <c r="B8" s="107" t="s">
        <v>42</v>
      </c>
      <c r="C8" s="108"/>
      <c r="D8" s="31">
        <v>13</v>
      </c>
      <c r="E8" s="36"/>
      <c r="I8" s="35"/>
    </row>
    <row r="9" spans="2:15" s="27" customFormat="1" ht="15" customHeight="1">
      <c r="C9" s="34"/>
      <c r="I9" s="35"/>
    </row>
    <row r="10" spans="2:15" s="27" customFormat="1" ht="15" customHeight="1">
      <c r="C10" s="34"/>
      <c r="G10" s="26" t="s">
        <v>5</v>
      </c>
      <c r="H10" s="34"/>
      <c r="I10" s="35"/>
      <c r="J10" s="109" t="str">
        <f>IF(ISBLANK(H6),"",IF(H6&gt;H14,F6,F14))</f>
        <v>Плавич-Сеничкина</v>
      </c>
      <c r="K10" s="107"/>
      <c r="L10" s="38"/>
      <c r="M10" s="37"/>
    </row>
    <row r="11" spans="2:15" s="27" customFormat="1" ht="15" customHeight="1">
      <c r="C11" s="34"/>
      <c r="I11" s="35"/>
      <c r="M11" s="37"/>
    </row>
    <row r="12" spans="2:15" s="27" customFormat="1" ht="15" customHeight="1">
      <c r="B12" s="107" t="s">
        <v>33</v>
      </c>
      <c r="C12" s="108"/>
      <c r="D12" s="31">
        <v>13</v>
      </c>
      <c r="E12" s="32"/>
      <c r="I12" s="35"/>
      <c r="M12" s="37"/>
    </row>
    <row r="13" spans="2:15" s="27" customFormat="1" ht="15" customHeight="1">
      <c r="C13" s="34"/>
      <c r="E13" s="33"/>
      <c r="I13" s="35"/>
      <c r="M13" s="37"/>
      <c r="O13" s="39"/>
    </row>
    <row r="14" spans="2:15" s="27" customFormat="1" ht="15" customHeight="1">
      <c r="B14" s="26" t="s">
        <v>5</v>
      </c>
      <c r="C14" s="34"/>
      <c r="E14" s="35"/>
      <c r="F14" s="109" t="str">
        <f>IF(ISBLANK(D12),"",IF(D12&gt;D16,B12,B16))</f>
        <v>Плавич-Сеничкина</v>
      </c>
      <c r="G14" s="108"/>
      <c r="H14" s="31">
        <v>13</v>
      </c>
      <c r="I14" s="36"/>
      <c r="M14" s="37"/>
    </row>
    <row r="15" spans="2:15" s="27" customFormat="1" ht="15" customHeight="1">
      <c r="E15" s="35"/>
      <c r="M15" s="37"/>
    </row>
    <row r="16" spans="2:15" s="27" customFormat="1" ht="15" customHeight="1">
      <c r="B16" s="107" t="s">
        <v>50</v>
      </c>
      <c r="C16" s="108"/>
      <c r="D16" s="31">
        <v>8</v>
      </c>
      <c r="E16" s="36"/>
      <c r="M16" s="37"/>
    </row>
    <row r="17" spans="2:13" s="27" customFormat="1" ht="15" customHeight="1">
      <c r="M17" s="37"/>
    </row>
    <row r="20" spans="2:13" ht="15" customHeight="1">
      <c r="B20" s="107" t="str">
        <f>IF(ISBLANK(D4),"",IF(D4&gt;D8,B8,B4))</f>
        <v>Шабанов-Петрова</v>
      </c>
      <c r="C20" s="108"/>
      <c r="D20" s="31">
        <v>7</v>
      </c>
      <c r="E20" s="32"/>
      <c r="F20" s="106"/>
      <c r="G20" s="106"/>
    </row>
    <row r="21" spans="2:13" s="27" customFormat="1" ht="15" customHeight="1">
      <c r="E21" s="33"/>
    </row>
    <row r="22" spans="2:13" s="27" customFormat="1" ht="15" customHeight="1">
      <c r="C22" s="26" t="s">
        <v>5</v>
      </c>
      <c r="E22" s="35"/>
      <c r="F22" s="109" t="str">
        <f>IF(ISBLANK(D20),"",IF(D20&gt;D24,B20,B24))</f>
        <v>Милёхин-Милёхина</v>
      </c>
      <c r="G22" s="107"/>
    </row>
    <row r="23" spans="2:13" s="27" customFormat="1" ht="15" customHeight="1">
      <c r="E23" s="35"/>
    </row>
    <row r="24" spans="2:13" s="27" customFormat="1" ht="15" customHeight="1">
      <c r="B24" s="107" t="str">
        <f>IF(ISBLANK(D12),"",IF(D12&gt;D16,B16,B12))</f>
        <v>Милёхин-Милёхина</v>
      </c>
      <c r="C24" s="108"/>
      <c r="D24" s="31">
        <v>13</v>
      </c>
      <c r="E24" s="36"/>
    </row>
    <row r="25" spans="2:13" s="27" customFormat="1" ht="15" customHeight="1"/>
  </sheetData>
  <mergeCells count="11">
    <mergeCell ref="B12:C12"/>
    <mergeCell ref="B4:C4"/>
    <mergeCell ref="F6:G6"/>
    <mergeCell ref="B8:C8"/>
    <mergeCell ref="J10:K10"/>
    <mergeCell ref="B24:C24"/>
    <mergeCell ref="F14:G14"/>
    <mergeCell ref="B16:C16"/>
    <mergeCell ref="B20:C20"/>
    <mergeCell ref="F20:G20"/>
    <mergeCell ref="F22:G22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5"/>
  <sheetViews>
    <sheetView workbookViewId="0">
      <selection activeCell="P6" sqref="P6"/>
    </sheetView>
  </sheetViews>
  <sheetFormatPr defaultColWidth="9" defaultRowHeight="15"/>
  <cols>
    <col min="1" max="1" width="4" customWidth="1"/>
    <col min="2" max="12" width="10.28515625" customWidth="1"/>
    <col min="13" max="13" width="10.28515625" style="28" customWidth="1"/>
    <col min="14" max="15" width="10.28515625" customWidth="1"/>
  </cols>
  <sheetData>
    <row r="1" spans="1:13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13" ht="30" customHeight="1">
      <c r="A3" s="40"/>
      <c r="B3" s="1"/>
      <c r="C3" s="95" t="s">
        <v>0</v>
      </c>
      <c r="D3" s="96"/>
      <c r="E3" s="97"/>
      <c r="F3" s="2">
        <v>1</v>
      </c>
      <c r="G3" s="2">
        <v>2</v>
      </c>
      <c r="H3" s="17">
        <v>3</v>
      </c>
      <c r="I3" s="17">
        <v>4</v>
      </c>
      <c r="J3" s="1" t="s">
        <v>1</v>
      </c>
      <c r="K3" s="2" t="s">
        <v>2</v>
      </c>
      <c r="L3" s="64" t="s">
        <v>3</v>
      </c>
    </row>
    <row r="4" spans="1:13" ht="24" customHeight="1">
      <c r="A4" s="40"/>
      <c r="B4" s="98">
        <v>1</v>
      </c>
      <c r="C4" s="79" t="s">
        <v>6</v>
      </c>
      <c r="D4" s="80"/>
      <c r="E4" s="81"/>
      <c r="F4" s="3" t="s">
        <v>4</v>
      </c>
      <c r="G4" s="4" t="str">
        <f ca="1">INDIRECT(ADDRESS(21,6))&amp;":"&amp;INDIRECT(ADDRESS(21,7))</f>
        <v>7:8</v>
      </c>
      <c r="H4" s="4" t="str">
        <f ca="1">INDIRECT(ADDRESS(25,7))&amp;":"&amp;INDIRECT(ADDRESS(25,6))</f>
        <v>7:8</v>
      </c>
      <c r="I4" s="20" t="str">
        <f ca="1">INDIRECT(ADDRESS(16,6))&amp;":"&amp;INDIRECT(ADDRESS(16,7))</f>
        <v>:</v>
      </c>
      <c r="J4" s="113">
        <f ca="1">IF(COUNT(F5:I5)=0,"",COUNTIF(F5:I5,"&gt;0")+0.5*COUNTIF(F5:I5,0))</f>
        <v>0</v>
      </c>
      <c r="K4" s="21"/>
      <c r="L4" s="110">
        <v>3</v>
      </c>
    </row>
    <row r="5" spans="1:13" ht="24" customHeight="1">
      <c r="A5" s="40"/>
      <c r="B5" s="99"/>
      <c r="C5" s="67"/>
      <c r="D5" s="68"/>
      <c r="E5" s="69"/>
      <c r="F5" s="5" t="s">
        <v>4</v>
      </c>
      <c r="G5" s="6">
        <f ca="1">IF(LEN(INDIRECT(ADDRESS(ROW()-1,COLUMN())))=1,"",INDIRECT(ADDRESS(21,6))-INDIRECT(ADDRESS(21,7)))</f>
        <v>-1</v>
      </c>
      <c r="H5" s="6">
        <f ca="1">IF(LEN(INDIRECT(ADDRESS(ROW()-1,COLUMN())))=1,"",INDIRECT(ADDRESS(25,7))-INDIRECT(ADDRESS(25,6)))</f>
        <v>-1</v>
      </c>
      <c r="I5" s="22" t="str">
        <f ca="1">IF(LEN(INDIRECT(ADDRESS(ROW()-1,COLUMN())))=1,"",INDIRECT(ADDRESS(16,6))-INDIRECT(ADDRESS(16,7)))</f>
        <v/>
      </c>
      <c r="J5" s="77"/>
      <c r="K5" s="6">
        <f ca="1">IF(COUNT(F5:I5)=0,"",SUM(F5:I5))</f>
        <v>-2</v>
      </c>
      <c r="L5" s="111"/>
    </row>
    <row r="6" spans="1:13" ht="24" customHeight="1">
      <c r="A6" s="40"/>
      <c r="B6" s="100">
        <v>2</v>
      </c>
      <c r="C6" s="67" t="s">
        <v>7</v>
      </c>
      <c r="D6" s="68"/>
      <c r="E6" s="69"/>
      <c r="F6" s="7" t="str">
        <f ca="1">INDIRECT(ADDRESS(21,7))&amp;":"&amp;INDIRECT(ADDRESS(21,6))</f>
        <v>8:7</v>
      </c>
      <c r="G6" s="8" t="s">
        <v>4</v>
      </c>
      <c r="H6" s="9" t="str">
        <f ca="1">INDIRECT(ADDRESS(17,6))&amp;":"&amp;INDIRECT(ADDRESS(17,7))</f>
        <v>6:8</v>
      </c>
      <c r="I6" s="23" t="str">
        <f ca="1">INDIRECT(ADDRESS(24,6))&amp;":"&amp;INDIRECT(ADDRESS(24,7))</f>
        <v>:</v>
      </c>
      <c r="J6" s="77">
        <f ca="1">IF(COUNT(F7:I7)=0,"",COUNTIF(F7:I7,"&gt;0")+0.5*COUNTIF(F7:I7,0))</f>
        <v>1</v>
      </c>
      <c r="K6" s="6"/>
      <c r="L6" s="111">
        <v>2</v>
      </c>
    </row>
    <row r="7" spans="1:13" ht="24" customHeight="1">
      <c r="A7" s="40"/>
      <c r="B7" s="99"/>
      <c r="C7" s="67"/>
      <c r="D7" s="68"/>
      <c r="E7" s="69"/>
      <c r="F7" s="10">
        <f ca="1">IF(LEN(INDIRECT(ADDRESS(ROW()-1,COLUMN())))=1,"",INDIRECT(ADDRESS(21,7))-INDIRECT(ADDRESS(21,6)))</f>
        <v>1</v>
      </c>
      <c r="G7" s="11" t="s">
        <v>4</v>
      </c>
      <c r="H7" s="6">
        <f ca="1">IF(LEN(INDIRECT(ADDRESS(ROW()-1,COLUMN())))=1,"",INDIRECT(ADDRESS(17,6))-INDIRECT(ADDRESS(17,7)))</f>
        <v>-2</v>
      </c>
      <c r="I7" s="22" t="str">
        <f ca="1">IF(LEN(INDIRECT(ADDRESS(ROW()-1,COLUMN())))=1,"",INDIRECT(ADDRESS(24,6))-INDIRECT(ADDRESS(24,7)))</f>
        <v/>
      </c>
      <c r="J7" s="77"/>
      <c r="K7" s="6">
        <f ca="1">IF(COUNT(F7:I7)=0,"",SUM(F7:I7))</f>
        <v>-1</v>
      </c>
      <c r="L7" s="111"/>
    </row>
    <row r="8" spans="1:13" ht="24" customHeight="1">
      <c r="A8" s="40"/>
      <c r="B8" s="100">
        <v>3</v>
      </c>
      <c r="C8" s="67" t="s">
        <v>8</v>
      </c>
      <c r="D8" s="68"/>
      <c r="E8" s="69"/>
      <c r="F8" s="7" t="str">
        <f ca="1">INDIRECT(ADDRESS(25,6))&amp;":"&amp;INDIRECT(ADDRESS(25,7))</f>
        <v>8:7</v>
      </c>
      <c r="G8" s="9" t="str">
        <f ca="1">INDIRECT(ADDRESS(17,7))&amp;":"&amp;INDIRECT(ADDRESS(17,6))</f>
        <v>8:6</v>
      </c>
      <c r="H8" s="8" t="s">
        <v>4</v>
      </c>
      <c r="I8" s="23" t="str">
        <f ca="1">INDIRECT(ADDRESS(20,7))&amp;":"&amp;INDIRECT(ADDRESS(20,6))</f>
        <v>:</v>
      </c>
      <c r="J8" s="77">
        <f ca="1">IF(COUNT(F9:I9)=0,"",COUNTIF(F9:I9,"&gt;0")+0.5*COUNTIF(F9:I9,0))</f>
        <v>2</v>
      </c>
      <c r="K8" s="6"/>
      <c r="L8" s="111">
        <v>1</v>
      </c>
    </row>
    <row r="9" spans="1:13" ht="24" customHeight="1">
      <c r="A9" s="40"/>
      <c r="B9" s="99"/>
      <c r="C9" s="67"/>
      <c r="D9" s="68"/>
      <c r="E9" s="69"/>
      <c r="F9" s="10">
        <f ca="1">IF(LEN(INDIRECT(ADDRESS(ROW()-1,COLUMN())))=1,"",INDIRECT(ADDRESS(25,6))-INDIRECT(ADDRESS(25,7)))</f>
        <v>1</v>
      </c>
      <c r="G9" s="6">
        <f ca="1">IF(LEN(INDIRECT(ADDRESS(ROW()-1,COLUMN())))=1,"",INDIRECT(ADDRESS(17,7))-INDIRECT(ADDRESS(17,6)))</f>
        <v>2</v>
      </c>
      <c r="H9" s="11" t="s">
        <v>4</v>
      </c>
      <c r="I9" s="22" t="str">
        <f ca="1">IF(LEN(INDIRECT(ADDRESS(ROW()-1,COLUMN())))=1,"",INDIRECT(ADDRESS(20,7))-INDIRECT(ADDRESS(20,6)))</f>
        <v/>
      </c>
      <c r="J9" s="77"/>
      <c r="K9" s="6">
        <f ca="1">IF(COUNT(F9:I9)=0,"",SUM(F9:I9))</f>
        <v>3</v>
      </c>
      <c r="L9" s="111"/>
    </row>
    <row r="10" spans="1:13" ht="24" customHeight="1">
      <c r="A10" s="40"/>
      <c r="B10" s="100">
        <v>4</v>
      </c>
      <c r="C10" s="67" t="e">
        <f>#VALUE!</f>
        <v>#VALUE!</v>
      </c>
      <c r="D10" s="68"/>
      <c r="E10" s="69"/>
      <c r="F10" s="7" t="str">
        <f ca="1">INDIRECT(ADDRESS(16,7))&amp;":"&amp;INDIRECT(ADDRESS(16,6))</f>
        <v>:</v>
      </c>
      <c r="G10" s="9" t="str">
        <f ca="1">INDIRECT(ADDRESS(24,7))&amp;":"&amp;INDIRECT(ADDRESS(24,6))</f>
        <v>:</v>
      </c>
      <c r="H10" s="9" t="str">
        <f ca="1">INDIRECT(ADDRESS(20,6))&amp;":"&amp;INDIRECT(ADDRESS(20,7))</f>
        <v>:</v>
      </c>
      <c r="I10" s="24" t="s">
        <v>4</v>
      </c>
      <c r="J10" s="77" t="str">
        <f ca="1">IF(COUNT(F11:I11)=0,"",COUNTIF(F11:I11,"&gt;0")+0.5*COUNTIF(F11:I11,0))</f>
        <v/>
      </c>
      <c r="K10" s="6"/>
      <c r="L10" s="111"/>
    </row>
    <row r="11" spans="1:13" ht="24" customHeight="1">
      <c r="A11" s="40"/>
      <c r="B11" s="101"/>
      <c r="C11" s="102"/>
      <c r="D11" s="103"/>
      <c r="E11" s="104"/>
      <c r="F11" s="12" t="str">
        <f ca="1">IF(LEN(INDIRECT(ADDRESS(ROW()-1,COLUMN())))=1,"",INDIRECT(ADDRESS(16,7))-INDIRECT(ADDRESS(16,6)))</f>
        <v/>
      </c>
      <c r="G11" s="13" t="str">
        <f ca="1">IF(LEN(INDIRECT(ADDRESS(ROW()-1,COLUMN())))=1,"",INDIRECT(ADDRESS(24,7))-INDIRECT(ADDRESS(24,6)))</f>
        <v/>
      </c>
      <c r="H11" s="13" t="str">
        <f ca="1">IF(LEN(INDIRECT(ADDRESS(ROW()-1,COLUMN())))=1,"",INDIRECT(ADDRESS(20,6))-INDIRECT(ADDRESS(20,7)))</f>
        <v/>
      </c>
      <c r="I11" s="25" t="s">
        <v>4</v>
      </c>
      <c r="J11" s="86"/>
      <c r="K11" s="13" t="str">
        <f ca="1">IF(COUNT(F11:I11)=0,"",SUM(F11:I11))</f>
        <v/>
      </c>
      <c r="L11" s="112"/>
    </row>
    <row r="15" spans="1:13" ht="30" customHeight="1">
      <c r="B15" s="87" t="s">
        <v>9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3" ht="30" customHeight="1">
      <c r="B16" s="14">
        <v>1</v>
      </c>
      <c r="C16" s="75" t="str">
        <f ca="1">IF(ISBLANK(INDIRECT(ADDRESS(B16*2+2,3))),"",INDIRECT(ADDRESS(B16*2+2,3)))</f>
        <v>Боулспорт (Попова К.,Степан, Хусам)</v>
      </c>
      <c r="D16" s="75"/>
      <c r="E16" s="76"/>
      <c r="F16" s="15"/>
      <c r="G16" s="16"/>
      <c r="H16" s="82" t="e">
        <f ca="1">IF(ISBLANK(INDIRECT(ADDRESS(K16*2+2,3))),"",INDIRECT(ADDRESS(K16*2+2,3)))</f>
        <v>#VALUE!</v>
      </c>
      <c r="I16" s="75"/>
      <c r="J16" s="75"/>
      <c r="K16" s="14">
        <v>4</v>
      </c>
      <c r="L16" s="26" t="s">
        <v>5</v>
      </c>
      <c r="M16" s="66"/>
    </row>
    <row r="17" spans="2:13" ht="30" customHeight="1">
      <c r="B17" s="14">
        <v>2</v>
      </c>
      <c r="C17" s="75" t="str">
        <f ca="1">IF(ISBLANK(INDIRECT(ADDRESS(B17*2+2,3))),"",INDIRECT(ADDRESS(B17*2+2,3)))</f>
        <v>Шарогоны (Илья, Герман, Нели)</v>
      </c>
      <c r="D17" s="75"/>
      <c r="E17" s="76"/>
      <c r="F17" s="15">
        <v>6</v>
      </c>
      <c r="G17" s="16">
        <v>8</v>
      </c>
      <c r="H17" s="82" t="str">
        <f ca="1">IF(ISBLANK(INDIRECT(ADDRESS(K17*2+2,3))),"",INDIRECT(ADDRESS(K17*2+2,3)))</f>
        <v>Чемпионы (Вика П., Асия, Катя)</v>
      </c>
      <c r="I17" s="75"/>
      <c r="J17" s="75"/>
      <c r="K17" s="14">
        <v>3</v>
      </c>
      <c r="L17" s="26" t="s">
        <v>5</v>
      </c>
      <c r="M17" s="66"/>
    </row>
    <row r="18" spans="2:13" ht="30" customHeight="1"/>
    <row r="19" spans="2:13" ht="30" customHeight="1">
      <c r="B19" s="87" t="s">
        <v>10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2:13" ht="30" customHeight="1">
      <c r="B20" s="14">
        <v>4</v>
      </c>
      <c r="C20" s="75" t="e">
        <f ca="1">IF(ISBLANK(INDIRECT(ADDRESS(B20*2+2,3))),"",INDIRECT(ADDRESS(B20*2+2,3)))</f>
        <v>#VALUE!</v>
      </c>
      <c r="D20" s="75"/>
      <c r="E20" s="76"/>
      <c r="F20" s="15"/>
      <c r="G20" s="16"/>
      <c r="H20" s="82" t="str">
        <f ca="1">IF(ISBLANK(INDIRECT(ADDRESS(K20*2+2,3))),"",INDIRECT(ADDRESS(K20*2+2,3)))</f>
        <v>Чемпионы (Вика П., Асия, Катя)</v>
      </c>
      <c r="I20" s="75"/>
      <c r="J20" s="75"/>
      <c r="K20" s="14">
        <v>3</v>
      </c>
      <c r="L20" s="26" t="s">
        <v>5</v>
      </c>
      <c r="M20" s="66"/>
    </row>
    <row r="21" spans="2:13" ht="30" customHeight="1">
      <c r="B21" s="14">
        <v>1</v>
      </c>
      <c r="C21" s="75" t="str">
        <f ca="1">IF(ISBLANK(INDIRECT(ADDRESS(B21*2+2,3))),"",INDIRECT(ADDRESS(B21*2+2,3)))</f>
        <v>Боулспорт (Попова К.,Степан, Хусам)</v>
      </c>
      <c r="D21" s="75"/>
      <c r="E21" s="76"/>
      <c r="F21" s="15">
        <v>7</v>
      </c>
      <c r="G21" s="16">
        <v>8</v>
      </c>
      <c r="H21" s="82" t="str">
        <f ca="1">IF(ISBLANK(INDIRECT(ADDRESS(K21*2+2,3))),"",INDIRECT(ADDRESS(K21*2+2,3)))</f>
        <v>Шарогоны (Илья, Герман, Нели)</v>
      </c>
      <c r="I21" s="75"/>
      <c r="J21" s="75"/>
      <c r="K21" s="14">
        <v>2</v>
      </c>
      <c r="L21" s="26" t="s">
        <v>5</v>
      </c>
      <c r="M21" s="66"/>
    </row>
    <row r="22" spans="2:13" ht="30" customHeight="1"/>
    <row r="23" spans="2:13" ht="30" customHeight="1">
      <c r="B23" s="87" t="s">
        <v>11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3" ht="30" customHeight="1">
      <c r="B24" s="14">
        <v>2</v>
      </c>
      <c r="C24" s="75" t="str">
        <f ca="1">IF(ISBLANK(INDIRECT(ADDRESS(B24*2+2,3))),"",INDIRECT(ADDRESS(B24*2+2,3)))</f>
        <v>Шарогоны (Илья, Герман, Нели)</v>
      </c>
      <c r="D24" s="75"/>
      <c r="E24" s="76"/>
      <c r="F24" s="15"/>
      <c r="G24" s="16"/>
      <c r="H24" s="82" t="e">
        <f ca="1">IF(ISBLANK(INDIRECT(ADDRESS(K24*2+2,3))),"",INDIRECT(ADDRESS(K24*2+2,3)))</f>
        <v>#VALUE!</v>
      </c>
      <c r="I24" s="75"/>
      <c r="J24" s="75"/>
      <c r="K24" s="14">
        <v>4</v>
      </c>
      <c r="L24" s="26" t="s">
        <v>5</v>
      </c>
      <c r="M24" s="66"/>
    </row>
    <row r="25" spans="2:13" ht="30" customHeight="1">
      <c r="B25" s="14">
        <v>3</v>
      </c>
      <c r="C25" s="75" t="str">
        <f ca="1">IF(ISBLANK(INDIRECT(ADDRESS(B25*2+2,3))),"",INDIRECT(ADDRESS(B25*2+2,3)))</f>
        <v>Чемпионы (Вика П., Асия, Катя)</v>
      </c>
      <c r="D25" s="75"/>
      <c r="E25" s="76"/>
      <c r="F25" s="15">
        <v>8</v>
      </c>
      <c r="G25" s="16">
        <v>7</v>
      </c>
      <c r="H25" s="82" t="str">
        <f ca="1">IF(ISBLANK(INDIRECT(ADDRESS(K25*2+2,3))),"",INDIRECT(ADDRESS(K25*2+2,3)))</f>
        <v>Боулспорт (Попова К.,Степан, Хусам)</v>
      </c>
      <c r="I25" s="75"/>
      <c r="J25" s="75"/>
      <c r="K25" s="14">
        <v>1</v>
      </c>
      <c r="L25" s="26" t="s">
        <v>5</v>
      </c>
      <c r="M25" s="66"/>
    </row>
  </sheetData>
  <sheetCalcPr fullCalcOnLoad="1"/>
  <mergeCells count="33">
    <mergeCell ref="C17:E17"/>
    <mergeCell ref="H17:J17"/>
    <mergeCell ref="J8:J9"/>
    <mergeCell ref="J10:J11"/>
    <mergeCell ref="C16:E16"/>
    <mergeCell ref="H16:J16"/>
    <mergeCell ref="C6:E7"/>
    <mergeCell ref="B1:K1"/>
    <mergeCell ref="C3:E3"/>
    <mergeCell ref="B15:K15"/>
    <mergeCell ref="B4:B5"/>
    <mergeCell ref="B6:B7"/>
    <mergeCell ref="B8:B9"/>
    <mergeCell ref="B10:B11"/>
    <mergeCell ref="J4:J5"/>
    <mergeCell ref="J6:J7"/>
    <mergeCell ref="H20:J20"/>
    <mergeCell ref="C21:E21"/>
    <mergeCell ref="H21:J21"/>
    <mergeCell ref="C24:E24"/>
    <mergeCell ref="H24:J24"/>
    <mergeCell ref="C25:E25"/>
    <mergeCell ref="H25:J25"/>
    <mergeCell ref="L4:L5"/>
    <mergeCell ref="L6:L7"/>
    <mergeCell ref="L8:L9"/>
    <mergeCell ref="L10:L11"/>
    <mergeCell ref="B23:K23"/>
    <mergeCell ref="C4:E5"/>
    <mergeCell ref="C8:E9"/>
    <mergeCell ref="C10:E11"/>
    <mergeCell ref="B19:K19"/>
    <mergeCell ref="C20:E20"/>
  </mergeCells>
  <phoneticPr fontId="9" type="noConversion"/>
  <printOptions horizontalCentered="1"/>
  <pageMargins left="0.31496062992126" right="0.31496062992126" top="0.35433070866141703" bottom="0.55118110236220497" header="0.31496062992126" footer="0.31496062992126"/>
  <pageSetup paperSize="9" scale="83" orientation="portrait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70" zoomScaleNormal="70" workbookViewId="0">
      <selection activeCell="B1" sqref="B1:K1"/>
    </sheetView>
  </sheetViews>
  <sheetFormatPr defaultColWidth="9" defaultRowHeight="15"/>
  <cols>
    <col min="1" max="1" width="4" customWidth="1"/>
    <col min="2" max="12" width="10.28515625" customWidth="1"/>
    <col min="13" max="13" width="10.28515625" style="28" customWidth="1"/>
    <col min="14" max="15" width="10.28515625" customWidth="1"/>
  </cols>
  <sheetData>
    <row r="1" spans="1:15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M1"/>
    </row>
    <row r="2" spans="1:15">
      <c r="M2"/>
    </row>
    <row r="3" spans="1:15" ht="30" customHeight="1">
      <c r="B3" s="1"/>
      <c r="C3" s="95" t="s">
        <v>0</v>
      </c>
      <c r="D3" s="96"/>
      <c r="E3" s="97"/>
      <c r="F3" s="2">
        <v>1</v>
      </c>
      <c r="G3" s="2">
        <v>2</v>
      </c>
      <c r="H3" s="2">
        <v>3</v>
      </c>
      <c r="I3" s="17">
        <v>4</v>
      </c>
      <c r="J3" s="17">
        <v>5</v>
      </c>
      <c r="K3" s="17">
        <v>6</v>
      </c>
      <c r="L3" s="64">
        <v>7</v>
      </c>
      <c r="M3" s="18" t="s">
        <v>1</v>
      </c>
      <c r="N3" s="2" t="s">
        <v>2</v>
      </c>
      <c r="O3" s="19" t="s">
        <v>3</v>
      </c>
    </row>
    <row r="4" spans="1:15" ht="24" customHeight="1">
      <c r="A4" s="40"/>
      <c r="B4" s="98">
        <v>1</v>
      </c>
      <c r="C4" s="79" t="s">
        <v>20</v>
      </c>
      <c r="D4" s="80"/>
      <c r="E4" s="81"/>
      <c r="F4" s="3"/>
      <c r="G4" s="4" t="str">
        <f ca="1">INDIRECT(ADDRESS(29,6))&amp;":"&amp;INDIRECT(ADDRESS(29,7))</f>
        <v>7:6</v>
      </c>
      <c r="H4" s="4" t="str">
        <f ca="1">INDIRECT(ADDRESS(32,7))&amp;":"&amp;INDIRECT(ADDRESS(32,6))</f>
        <v>0:7</v>
      </c>
      <c r="I4" s="4" t="str">
        <f ca="1">INDIRECT(ADDRESS(38,6))&amp;":"&amp;INDIRECT(ADDRESS(38,7))</f>
        <v>2:7</v>
      </c>
      <c r="J4" s="4" t="str">
        <f ca="1">INDIRECT(ADDRESS(43,7))&amp;":"&amp;INDIRECT(ADDRESS(43,6))</f>
        <v>1:3</v>
      </c>
      <c r="K4" s="45" t="str">
        <f ca="1">INDIRECT(ADDRESS(47,6))&amp;":"&amp;INDIRECT(ADDRESS(47,7))</f>
        <v>5:3</v>
      </c>
      <c r="L4" s="20" t="str">
        <f ca="1">INDIRECT(ADDRESS(54,7))&amp;":"&amp;INDIRECT(ADDRESS(54,6))</f>
        <v>7:4</v>
      </c>
      <c r="M4" s="78">
        <f ca="1">IF(COUNT(F5:L5)=0,"",COUNTIF(F5:L5,"&gt;0")+0.5*COUNTIF(F5:L5,0))</f>
        <v>3</v>
      </c>
      <c r="N4" s="21"/>
      <c r="O4" s="70">
        <v>4</v>
      </c>
    </row>
    <row r="5" spans="1:15" ht="24" customHeight="1">
      <c r="A5" s="40"/>
      <c r="B5" s="99"/>
      <c r="C5" s="67"/>
      <c r="D5" s="68"/>
      <c r="E5" s="69"/>
      <c r="F5" s="5"/>
      <c r="G5" s="6">
        <f ca="1">IF(LEN(INDIRECT(ADDRESS(ROW()-1,COLUMN())))=1,"",INDIRECT(ADDRESS(29,6))-INDIRECT(ADDRESS(29,7)))</f>
        <v>1</v>
      </c>
      <c r="H5" s="6">
        <f ca="1">IF(LEN(INDIRECT(ADDRESS(ROW()-1,COLUMN())))=1,"",INDIRECT(ADDRESS(32,7))-INDIRECT(ADDRESS(32,6)))</f>
        <v>-7</v>
      </c>
      <c r="I5" s="6">
        <f ca="1">IF(LEN(INDIRECT(ADDRESS(ROW()-1,COLUMN())))=1,"",INDIRECT(ADDRESS(38,6))-INDIRECT(ADDRESS(38,7)))</f>
        <v>-5</v>
      </c>
      <c r="J5" s="6">
        <f ca="1">IF(LEN(INDIRECT(ADDRESS(ROW()-1,COLUMN())))=1,"",INDIRECT(ADDRESS(43,7))-INDIRECT(ADDRESS(43,6)))</f>
        <v>-2</v>
      </c>
      <c r="K5" s="47">
        <f ca="1">IF(LEN(INDIRECT(ADDRESS(ROW()-1,COLUMN())))=1,"",INDIRECT(ADDRESS(47,6))-INDIRECT(ADDRESS(47,7)))</f>
        <v>2</v>
      </c>
      <c r="L5" s="22">
        <f ca="1">IF(LEN(INDIRECT(ADDRESS(ROW()-1,COLUMN())))=1,"",INDIRECT(ADDRESS(54,7))-INDIRECT(ADDRESS(54,6)))</f>
        <v>3</v>
      </c>
      <c r="M5" s="77"/>
      <c r="N5" s="6">
        <f ca="1">IF(COUNT(F5:L5)=0,"",SUM(F5:L5))</f>
        <v>-8</v>
      </c>
      <c r="O5" s="71"/>
    </row>
    <row r="6" spans="1:15" ht="24" customHeight="1">
      <c r="A6" s="40"/>
      <c r="B6" s="100">
        <v>2</v>
      </c>
      <c r="C6" s="67" t="s">
        <v>21</v>
      </c>
      <c r="D6" s="68"/>
      <c r="E6" s="69"/>
      <c r="F6" s="7" t="str">
        <f ca="1">INDIRECT(ADDRESS(29,7))&amp;":"&amp;INDIRECT(ADDRESS(29,6))</f>
        <v>6:7</v>
      </c>
      <c r="G6" s="8"/>
      <c r="H6" s="9" t="str">
        <f ca="1">INDIRECT(ADDRESS(39,6))&amp;":"&amp;INDIRECT(ADDRESS(39,7))</f>
        <v>9:1</v>
      </c>
      <c r="I6" s="9" t="str">
        <f ca="1">INDIRECT(ADDRESS(42,7))&amp;":"&amp;INDIRECT(ADDRESS(42,6))</f>
        <v>7:4</v>
      </c>
      <c r="J6" s="9" t="str">
        <f ca="1">INDIRECT(ADDRESS(48,6))&amp;":"&amp;INDIRECT(ADDRESS(48,7))</f>
        <v>4:3</v>
      </c>
      <c r="K6" s="48" t="str">
        <f ca="1">INDIRECT(ADDRESS(53,7))&amp;":"&amp;INDIRECT(ADDRESS(53,6))</f>
        <v>7:5</v>
      </c>
      <c r="L6" s="23" t="str">
        <f ca="1">INDIRECT(ADDRESS(22,6))&amp;":"&amp;INDIRECT(ADDRESS(22,7))</f>
        <v>7:2</v>
      </c>
      <c r="M6" s="77">
        <f ca="1">IF(COUNT(F7:L7)=0,"",COUNTIF(F7:L7,"&gt;0")+0.5*COUNTIF(F7:L7,0))</f>
        <v>5</v>
      </c>
      <c r="N6" s="6"/>
      <c r="O6" s="74">
        <v>1</v>
      </c>
    </row>
    <row r="7" spans="1:15" ht="24" customHeight="1">
      <c r="A7" s="40"/>
      <c r="B7" s="99"/>
      <c r="C7" s="67"/>
      <c r="D7" s="68"/>
      <c r="E7" s="69"/>
      <c r="F7" s="10">
        <f ca="1">IF(LEN(INDIRECT(ADDRESS(ROW()-1,COLUMN())))=1,"",INDIRECT(ADDRESS(29,7))-INDIRECT(ADDRESS(29,6)))</f>
        <v>-1</v>
      </c>
      <c r="G7" s="11"/>
      <c r="H7" s="6">
        <f ca="1">IF(LEN(INDIRECT(ADDRESS(ROW()-1,COLUMN())))=1,"",INDIRECT(ADDRESS(39,6))-INDIRECT(ADDRESS(39,7)))</f>
        <v>8</v>
      </c>
      <c r="I7" s="6">
        <f ca="1">IF(LEN(INDIRECT(ADDRESS(ROW()-1,COLUMN())))=1,"",INDIRECT(ADDRESS(42,7))-INDIRECT(ADDRESS(42,6)))</f>
        <v>3</v>
      </c>
      <c r="J7" s="6">
        <f ca="1">IF(LEN(INDIRECT(ADDRESS(ROW()-1,COLUMN())))=1,"",INDIRECT(ADDRESS(48,6))-INDIRECT(ADDRESS(48,7)))</f>
        <v>1</v>
      </c>
      <c r="K7" s="47">
        <f ca="1">IF(LEN(INDIRECT(ADDRESS(ROW()-1,COLUMN())))=1,"",INDIRECT(ADDRESS(53,7))-INDIRECT(ADDRESS(53,6)))</f>
        <v>2</v>
      </c>
      <c r="L7" s="22">
        <f ca="1">IF(LEN(INDIRECT(ADDRESS(ROW()-1,COLUMN())))=1,"",INDIRECT(ADDRESS(22,6))-INDIRECT(ADDRESS(22,7)))</f>
        <v>5</v>
      </c>
      <c r="M7" s="77"/>
      <c r="N7" s="6">
        <f ca="1">IF(COUNT(F7:L7)=0,"",SUM(F7:L7))</f>
        <v>18</v>
      </c>
      <c r="O7" s="71"/>
    </row>
    <row r="8" spans="1:15" ht="24" customHeight="1">
      <c r="A8" s="40"/>
      <c r="B8" s="100">
        <v>3</v>
      </c>
      <c r="C8" s="67" t="s">
        <v>22</v>
      </c>
      <c r="D8" s="68"/>
      <c r="E8" s="69"/>
      <c r="F8" s="7" t="str">
        <f ca="1">INDIRECT(ADDRESS(32,6))&amp;":"&amp;INDIRECT(ADDRESS(32,7))</f>
        <v>7:0</v>
      </c>
      <c r="G8" s="9" t="str">
        <f ca="1">INDIRECT(ADDRESS(39,7))&amp;":"&amp;INDIRECT(ADDRESS(39,6))</f>
        <v>1:9</v>
      </c>
      <c r="H8" s="8"/>
      <c r="I8" s="9" t="str">
        <f ca="1">INDIRECT(ADDRESS(49,6))&amp;":"&amp;INDIRECT(ADDRESS(49,7))</f>
        <v>3:7</v>
      </c>
      <c r="J8" s="9" t="str">
        <f ca="1">INDIRECT(ADDRESS(52,7))&amp;":"&amp;INDIRECT(ADDRESS(52,6))</f>
        <v>8:2</v>
      </c>
      <c r="K8" s="48" t="str">
        <f ca="1">INDIRECT(ADDRESS(23,6))&amp;":"&amp;INDIRECT(ADDRESS(23,7))</f>
        <v>7:0</v>
      </c>
      <c r="L8" s="23" t="str">
        <f ca="1">INDIRECT(ADDRESS(28,7))&amp;":"&amp;INDIRECT(ADDRESS(28,6))</f>
        <v>7:4</v>
      </c>
      <c r="M8" s="77">
        <f ca="1">IF(COUNT(F9:L9)=0,"",COUNTIF(F9:L9,"&gt;0")+0.5*COUNTIF(F9:L9,0))</f>
        <v>4</v>
      </c>
      <c r="N8" s="6"/>
      <c r="O8" s="74">
        <v>3</v>
      </c>
    </row>
    <row r="9" spans="1:15" ht="24" customHeight="1">
      <c r="A9" s="40"/>
      <c r="B9" s="99"/>
      <c r="C9" s="67"/>
      <c r="D9" s="68"/>
      <c r="E9" s="69"/>
      <c r="F9" s="10">
        <f ca="1">IF(LEN(INDIRECT(ADDRESS(ROW()-1,COLUMN())))=1,"",INDIRECT(ADDRESS(32,6))-INDIRECT(ADDRESS(32,7)))</f>
        <v>7</v>
      </c>
      <c r="G9" s="6">
        <f ca="1">IF(LEN(INDIRECT(ADDRESS(ROW()-1,COLUMN())))=1,"",INDIRECT(ADDRESS(39,7))-INDIRECT(ADDRESS(39,6)))</f>
        <v>-8</v>
      </c>
      <c r="H9" s="11"/>
      <c r="I9" s="6">
        <f ca="1">IF(LEN(INDIRECT(ADDRESS(ROW()-1,COLUMN())))=1,"",INDIRECT(ADDRESS(49,6))-INDIRECT(ADDRESS(49,7)))</f>
        <v>-4</v>
      </c>
      <c r="J9" s="6">
        <f ca="1">IF(LEN(INDIRECT(ADDRESS(ROW()-1,COLUMN())))=1,"",INDIRECT(ADDRESS(52,7))-INDIRECT(ADDRESS(52,6)))</f>
        <v>6</v>
      </c>
      <c r="K9" s="47">
        <f ca="1">IF(LEN(INDIRECT(ADDRESS(ROW()-1,COLUMN())))=1,"",INDIRECT(ADDRESS(23,6))-INDIRECT(ADDRESS(23,7)))</f>
        <v>7</v>
      </c>
      <c r="L9" s="22">
        <f ca="1">IF(LEN(INDIRECT(ADDRESS(ROW()-1,COLUMN())))=1,"",INDIRECT(ADDRESS(28,7))-INDIRECT(ADDRESS(28,6)))</f>
        <v>3</v>
      </c>
      <c r="M9" s="77"/>
      <c r="N9" s="6">
        <f ca="1">IF(COUNT(F9:L9)=0,"",SUM(F9:L9))</f>
        <v>11</v>
      </c>
      <c r="O9" s="71"/>
    </row>
    <row r="10" spans="1:15" ht="24" customHeight="1">
      <c r="A10" s="40"/>
      <c r="B10" s="100">
        <v>4</v>
      </c>
      <c r="C10" s="67" t="s">
        <v>23</v>
      </c>
      <c r="D10" s="68"/>
      <c r="E10" s="69"/>
      <c r="F10" s="7" t="str">
        <f ca="1">INDIRECT(ADDRESS(38,7))&amp;":"&amp;INDIRECT(ADDRESS(38,6))</f>
        <v>7:2</v>
      </c>
      <c r="G10" s="9" t="str">
        <f ca="1">INDIRECT(ADDRESS(42,6))&amp;":"&amp;INDIRECT(ADDRESS(42,7))</f>
        <v>4:7</v>
      </c>
      <c r="H10" s="9" t="str">
        <f ca="1">INDIRECT(ADDRESS(49,7))&amp;":"&amp;INDIRECT(ADDRESS(49,6))</f>
        <v>7:3</v>
      </c>
      <c r="I10" s="8"/>
      <c r="J10" s="9" t="str">
        <f ca="1">INDIRECT(ADDRESS(24,6))&amp;":"&amp;INDIRECT(ADDRESS(24,7))</f>
        <v>7:5</v>
      </c>
      <c r="K10" s="48" t="str">
        <f ca="1">INDIRECT(ADDRESS(27,7))&amp;":"&amp;INDIRECT(ADDRESS(27,6))</f>
        <v>7:0</v>
      </c>
      <c r="L10" s="23" t="str">
        <f ca="1">INDIRECT(ADDRESS(33,6))&amp;":"&amp;INDIRECT(ADDRESS(33,7))</f>
        <v>6:3</v>
      </c>
      <c r="M10" s="77">
        <f ca="1">IF(COUNT(F11:L11)=0,"",COUNTIF(F11:L11,"&gt;0")+0.5*COUNTIF(F11:L11,0))</f>
        <v>5</v>
      </c>
      <c r="N10" s="6"/>
      <c r="O10" s="74">
        <v>2</v>
      </c>
    </row>
    <row r="11" spans="1:15" ht="24" customHeight="1">
      <c r="A11" s="40"/>
      <c r="B11" s="99"/>
      <c r="C11" s="67"/>
      <c r="D11" s="68"/>
      <c r="E11" s="69"/>
      <c r="F11" s="10">
        <f ca="1">IF(LEN(INDIRECT(ADDRESS(ROW()-1,COLUMN())))=1,"",INDIRECT(ADDRESS(38,7))-INDIRECT(ADDRESS(38,6)))</f>
        <v>5</v>
      </c>
      <c r="G11" s="6">
        <f ca="1">IF(LEN(INDIRECT(ADDRESS(ROW()-1,COLUMN())))=1,"",INDIRECT(ADDRESS(42,6))-INDIRECT(ADDRESS(42,7)))</f>
        <v>-3</v>
      </c>
      <c r="H11" s="6">
        <f ca="1">IF(LEN(INDIRECT(ADDRESS(ROW()-1,COLUMN())))=1,"",INDIRECT(ADDRESS(49,7))-INDIRECT(ADDRESS(49,6)))</f>
        <v>4</v>
      </c>
      <c r="I11" s="11"/>
      <c r="J11" s="6">
        <f ca="1">IF(LEN(INDIRECT(ADDRESS(ROW()-1,COLUMN())))=1,"",INDIRECT(ADDRESS(24,6))-INDIRECT(ADDRESS(24,7)))</f>
        <v>2</v>
      </c>
      <c r="K11" s="47">
        <f ca="1">IF(LEN(INDIRECT(ADDRESS(ROW()-1,COLUMN())))=1,"",INDIRECT(ADDRESS(27,7))-INDIRECT(ADDRESS(27,6)))</f>
        <v>7</v>
      </c>
      <c r="L11" s="22">
        <f ca="1">IF(LEN(INDIRECT(ADDRESS(ROW()-1,COLUMN())))=1,"",INDIRECT(ADDRESS(33,6))-INDIRECT(ADDRESS(33,7)))</f>
        <v>3</v>
      </c>
      <c r="M11" s="77"/>
      <c r="N11" s="6">
        <f ca="1">IF(COUNT(F11:L11)=0,"",SUM(F11:L11))</f>
        <v>18</v>
      </c>
      <c r="O11" s="71"/>
    </row>
    <row r="12" spans="1:15" ht="24" customHeight="1">
      <c r="A12" s="40"/>
      <c r="B12" s="100">
        <v>5</v>
      </c>
      <c r="C12" s="67" t="s">
        <v>24</v>
      </c>
      <c r="D12" s="68"/>
      <c r="E12" s="69"/>
      <c r="F12" s="7" t="str">
        <f ca="1">INDIRECT(ADDRESS(43,6))&amp;":"&amp;INDIRECT(ADDRESS(43,7))</f>
        <v>3:1</v>
      </c>
      <c r="G12" s="9" t="str">
        <f ca="1">INDIRECT(ADDRESS(48,7))&amp;":"&amp;INDIRECT(ADDRESS(48,6))</f>
        <v>3:4</v>
      </c>
      <c r="H12" s="9" t="str">
        <f ca="1">INDIRECT(ADDRESS(52,6))&amp;":"&amp;INDIRECT(ADDRESS(52,7))</f>
        <v>2:8</v>
      </c>
      <c r="I12" s="9" t="str">
        <f ca="1">INDIRECT(ADDRESS(24,7))&amp;":"&amp;INDIRECT(ADDRESS(24,6))</f>
        <v>5:7</v>
      </c>
      <c r="J12" s="8"/>
      <c r="K12" s="48" t="str">
        <f ca="1">INDIRECT(ADDRESS(34,6))&amp;":"&amp;INDIRECT(ADDRESS(34,7))</f>
        <v>6:7</v>
      </c>
      <c r="L12" s="23" t="str">
        <f ca="1">INDIRECT(ADDRESS(37,7))&amp;":"&amp;INDIRECT(ADDRESS(37,6))</f>
        <v>6:3</v>
      </c>
      <c r="M12" s="77">
        <f ca="1">IF(COUNT(F13:L13)=0,"",COUNTIF(F13:L13,"&gt;0")+0.5*COUNTIF(F13:L13,0))</f>
        <v>2</v>
      </c>
      <c r="N12" s="6"/>
      <c r="O12" s="74">
        <v>6</v>
      </c>
    </row>
    <row r="13" spans="1:15" ht="24" customHeight="1">
      <c r="A13" s="40"/>
      <c r="B13" s="99"/>
      <c r="C13" s="67"/>
      <c r="D13" s="68"/>
      <c r="E13" s="69"/>
      <c r="F13" s="10">
        <f ca="1">IF(LEN(INDIRECT(ADDRESS(ROW()-1,COLUMN())))=1,"",INDIRECT(ADDRESS(43,6))-INDIRECT(ADDRESS(43,7)))</f>
        <v>2</v>
      </c>
      <c r="G13" s="6">
        <f ca="1">IF(LEN(INDIRECT(ADDRESS(ROW()-1,COLUMN())))=1,"",INDIRECT(ADDRESS(48,7))-INDIRECT(ADDRESS(48,6)))</f>
        <v>-1</v>
      </c>
      <c r="H13" s="6">
        <f ca="1">IF(LEN(INDIRECT(ADDRESS(ROW()-1,COLUMN())))=1,"",INDIRECT(ADDRESS(52,6))-INDIRECT(ADDRESS(52,7)))</f>
        <v>-6</v>
      </c>
      <c r="I13" s="6">
        <f ca="1">IF(LEN(INDIRECT(ADDRESS(ROW()-1,COLUMN())))=1,"",INDIRECT(ADDRESS(24,7))-INDIRECT(ADDRESS(24,6)))</f>
        <v>-2</v>
      </c>
      <c r="J13" s="11"/>
      <c r="K13" s="47">
        <f ca="1">IF(LEN(INDIRECT(ADDRESS(ROW()-1,COLUMN())))=1,"",INDIRECT(ADDRESS(34,6))-INDIRECT(ADDRESS(34,7)))</f>
        <v>-1</v>
      </c>
      <c r="L13" s="22">
        <f ca="1">IF(LEN(INDIRECT(ADDRESS(ROW()-1,COLUMN())))=1,"",INDIRECT(ADDRESS(37,7))-INDIRECT(ADDRESS(37,6)))</f>
        <v>3</v>
      </c>
      <c r="M13" s="77"/>
      <c r="N13" s="6">
        <f ca="1">IF(COUNT(F13:L13)=0,"",SUM(F13:L13))</f>
        <v>-5</v>
      </c>
      <c r="O13" s="71"/>
    </row>
    <row r="14" spans="1:15" ht="24" customHeight="1">
      <c r="A14" s="40"/>
      <c r="B14" s="100">
        <v>6</v>
      </c>
      <c r="C14" s="67" t="s">
        <v>25</v>
      </c>
      <c r="D14" s="68"/>
      <c r="E14" s="69"/>
      <c r="F14" s="7" t="str">
        <f ca="1">INDIRECT(ADDRESS(47,7))&amp;":"&amp;INDIRECT(ADDRESS(47,6))</f>
        <v>3:5</v>
      </c>
      <c r="G14" s="9" t="str">
        <f ca="1">INDIRECT(ADDRESS(53,6))&amp;":"&amp;INDIRECT(ADDRESS(53,7))</f>
        <v>5:7</v>
      </c>
      <c r="H14" s="9" t="str">
        <f ca="1">INDIRECT(ADDRESS(23,7))&amp;":"&amp;INDIRECT(ADDRESS(23,6))</f>
        <v>0:7</v>
      </c>
      <c r="I14" s="9" t="str">
        <f ca="1">INDIRECT(ADDRESS(27,6))&amp;":"&amp;INDIRECT(ADDRESS(27,7))</f>
        <v>0:7</v>
      </c>
      <c r="J14" s="9" t="str">
        <f ca="1">INDIRECT(ADDRESS(34,7))&amp;":"&amp;INDIRECT(ADDRESS(34,6))</f>
        <v>7:6</v>
      </c>
      <c r="K14" s="49"/>
      <c r="L14" s="51" t="str">
        <f ca="1">INDIRECT(ADDRESS(44,6))&amp;":"&amp;INDIRECT(ADDRESS(44,7))</f>
        <v>8:0</v>
      </c>
      <c r="M14" s="77">
        <f ca="1">IF(COUNT(F15:L15)=0,"",COUNTIF(F15:L15,"&gt;0")+0.5*COUNTIF(F15:L15,0))</f>
        <v>2</v>
      </c>
      <c r="N14" s="6"/>
      <c r="O14" s="74">
        <v>5</v>
      </c>
    </row>
    <row r="15" spans="1:15" ht="24" customHeight="1">
      <c r="A15" s="40"/>
      <c r="B15" s="99"/>
      <c r="C15" s="67"/>
      <c r="D15" s="68"/>
      <c r="E15" s="69"/>
      <c r="F15" s="10">
        <f ca="1">IF(LEN(INDIRECT(ADDRESS(ROW()-1,COLUMN())))=1,"",INDIRECT(ADDRESS(47,7))-INDIRECT(ADDRESS(47,6)))</f>
        <v>-2</v>
      </c>
      <c r="G15" s="6">
        <f ca="1">IF(LEN(INDIRECT(ADDRESS(ROW()-1,COLUMN())))=1,"",INDIRECT(ADDRESS(53,6))-INDIRECT(ADDRESS(53,7)))</f>
        <v>-2</v>
      </c>
      <c r="H15" s="6">
        <f ca="1">IF(LEN(INDIRECT(ADDRESS(ROW()-1,COLUMN())))=1,"",INDIRECT(ADDRESS(23,7))-INDIRECT(ADDRESS(23,6)))</f>
        <v>-7</v>
      </c>
      <c r="I15" s="6">
        <f ca="1">IF(LEN(INDIRECT(ADDRESS(ROW()-1,COLUMN())))=1,"",INDIRECT(ADDRESS(27,6))-INDIRECT(ADDRESS(27,7)))</f>
        <v>-7</v>
      </c>
      <c r="J15" s="6">
        <f ca="1">IF(LEN(INDIRECT(ADDRESS(ROW()-1,COLUMN())))=1,"",INDIRECT(ADDRESS(34,7))-INDIRECT(ADDRESS(34,6)))</f>
        <v>1</v>
      </c>
      <c r="K15" s="52"/>
      <c r="L15" s="54">
        <f ca="1">IF(LEN(INDIRECT(ADDRESS(ROW()-1,COLUMN())))=1,"",INDIRECT(ADDRESS(44,6))-INDIRECT(ADDRESS(44,7)))</f>
        <v>8</v>
      </c>
      <c r="M15" s="77"/>
      <c r="N15" s="6">
        <f ca="1">IF(COUNT(F15:L15)=0,"",SUM(F15:L15))</f>
        <v>-9</v>
      </c>
      <c r="O15" s="71"/>
    </row>
    <row r="16" spans="1:15" ht="24" customHeight="1">
      <c r="A16" s="40"/>
      <c r="B16" s="105">
        <v>7</v>
      </c>
      <c r="C16" s="88" t="s">
        <v>26</v>
      </c>
      <c r="D16" s="89"/>
      <c r="E16" s="90"/>
      <c r="F16" s="41" t="str">
        <f ca="1">INDIRECT(ADDRESS(54,6))&amp;":"&amp;INDIRECT(ADDRESS(54,7))</f>
        <v>4:7</v>
      </c>
      <c r="G16" s="42" t="str">
        <f ca="1">INDIRECT(ADDRESS(22,7))&amp;":"&amp;INDIRECT(ADDRESS(22,6))</f>
        <v>2:7</v>
      </c>
      <c r="H16" s="42" t="str">
        <f ca="1">INDIRECT(ADDRESS(28,6))&amp;":"&amp;INDIRECT(ADDRESS(28,7))</f>
        <v>4:7</v>
      </c>
      <c r="I16" s="42" t="str">
        <f ca="1">INDIRECT(ADDRESS(33,7))&amp;":"&amp;INDIRECT(ADDRESS(33,6))</f>
        <v>3:6</v>
      </c>
      <c r="J16" s="42" t="str">
        <f ca="1">INDIRECT(ADDRESS(37,6))&amp;":"&amp;INDIRECT(ADDRESS(37,7))</f>
        <v>3:6</v>
      </c>
      <c r="K16" s="55" t="str">
        <f ca="1">INDIRECT(ADDRESS(44,7))&amp;":"&amp;INDIRECT(ADDRESS(44,6))</f>
        <v>0:8</v>
      </c>
      <c r="L16" s="65"/>
      <c r="M16" s="77">
        <f ca="1">IF(COUNT(F17:L17)=0,"",COUNTIF(F17:L17,"&gt;0")+0.5*COUNTIF(F17:L17,0))</f>
        <v>0</v>
      </c>
      <c r="N16" s="58"/>
      <c r="O16" s="83">
        <v>7</v>
      </c>
    </row>
    <row r="17" spans="1:15" ht="24" customHeight="1">
      <c r="A17" s="40"/>
      <c r="B17" s="101"/>
      <c r="C17" s="102"/>
      <c r="D17" s="103"/>
      <c r="E17" s="104"/>
      <c r="F17" s="12">
        <f ca="1">IF(LEN(INDIRECT(ADDRESS(ROW()-1,COLUMN())))=1,"",INDIRECT(ADDRESS(54,6))-INDIRECT(ADDRESS(54,7)))</f>
        <v>-3</v>
      </c>
      <c r="G17" s="13">
        <f ca="1">IF(LEN(INDIRECT(ADDRESS(ROW()-1,COLUMN())))=1,"",INDIRECT(ADDRESS(22,7))-INDIRECT(ADDRESS(22,6)))</f>
        <v>-5</v>
      </c>
      <c r="H17" s="13">
        <f ca="1">IF(LEN(INDIRECT(ADDRESS(ROW()-1,COLUMN())))=1,"",INDIRECT(ADDRESS(28,6))-INDIRECT(ADDRESS(28,7)))</f>
        <v>-3</v>
      </c>
      <c r="I17" s="13">
        <f ca="1">IF(LEN(INDIRECT(ADDRESS(ROW()-1,COLUMN())))=1,"",INDIRECT(ADDRESS(33,7))-INDIRECT(ADDRESS(33,6)))</f>
        <v>-3</v>
      </c>
      <c r="J17" s="13">
        <f ca="1">IF(LEN(INDIRECT(ADDRESS(ROW()-1,COLUMN())))=1,"",INDIRECT(ADDRESS(37,6))-INDIRECT(ADDRESS(37,7)))</f>
        <v>-3</v>
      </c>
      <c r="K17" s="62">
        <f ca="1">IF(LEN(INDIRECT(ADDRESS(ROW()-1,COLUMN())))=1,"",INDIRECT(ADDRESS(44,7))-INDIRECT(ADDRESS(44,6)))</f>
        <v>-8</v>
      </c>
      <c r="L17" s="25"/>
      <c r="M17" s="86"/>
      <c r="N17" s="13">
        <f ca="1">IF(COUNT(F17:L17)=0,"",SUM(F17:L17))</f>
        <v>-25</v>
      </c>
      <c r="O17" s="84"/>
    </row>
    <row r="18" spans="1:15">
      <c r="M18"/>
    </row>
    <row r="19" spans="1:15">
      <c r="M19"/>
    </row>
    <row r="20" spans="1:15">
      <c r="M20"/>
    </row>
    <row r="21" spans="1:15" ht="30" customHeight="1">
      <c r="B21" s="87" t="s">
        <v>9</v>
      </c>
      <c r="C21" s="87"/>
      <c r="D21" s="87"/>
      <c r="E21" s="87"/>
      <c r="F21" s="87"/>
      <c r="G21" s="87"/>
      <c r="H21" s="87"/>
      <c r="I21" s="87"/>
      <c r="J21" s="87"/>
      <c r="K21" s="87"/>
      <c r="M21"/>
    </row>
    <row r="22" spans="1:15" ht="30" customHeight="1">
      <c r="B22" s="40">
        <v>2</v>
      </c>
      <c r="C22" s="75" t="str">
        <f ca="1">IF(ISBLANK(INDIRECT(ADDRESS(B22*2+2,3))),"",INDIRECT(ADDRESS(B22*2+2,3)))</f>
        <v>Попова Ксения</v>
      </c>
      <c r="D22" s="75"/>
      <c r="E22" s="76"/>
      <c r="F22" s="15">
        <v>7</v>
      </c>
      <c r="G22" s="16">
        <v>2</v>
      </c>
      <c r="H22" s="82" t="str">
        <f ca="1">IF(ISBLANK(INDIRECT(ADDRESS(K22*2+2,3))),"",INDIRECT(ADDRESS(K22*2+2,3)))</f>
        <v>Попова Вика</v>
      </c>
      <c r="I22" s="75"/>
      <c r="J22" s="75"/>
      <c r="K22" s="40">
        <v>7</v>
      </c>
      <c r="L22" s="26" t="s">
        <v>5</v>
      </c>
      <c r="M22" s="27">
        <v>1</v>
      </c>
    </row>
    <row r="23" spans="1:15" ht="30" customHeight="1">
      <c r="B23" s="40">
        <v>3</v>
      </c>
      <c r="C23" s="75" t="str">
        <f ca="1">IF(ISBLANK(INDIRECT(ADDRESS(B23*2+2,3))),"",INDIRECT(ADDRESS(B23*2+2,3)))</f>
        <v>Круковский Герман</v>
      </c>
      <c r="D23" s="75"/>
      <c r="E23" s="76"/>
      <c r="F23" s="15">
        <v>7</v>
      </c>
      <c r="G23" s="16">
        <v>0</v>
      </c>
      <c r="H23" s="82" t="str">
        <f ca="1">IF(ISBLANK(INDIRECT(ADDRESS(K23*2+2,3))),"",INDIRECT(ADDRESS(K23*2+2,3)))</f>
        <v>Плавич Степан</v>
      </c>
      <c r="I23" s="75"/>
      <c r="J23" s="75"/>
      <c r="K23" s="40">
        <v>6</v>
      </c>
      <c r="L23" s="26" t="s">
        <v>5</v>
      </c>
      <c r="M23" s="27">
        <v>2</v>
      </c>
    </row>
    <row r="24" spans="1:15" ht="30" customHeight="1">
      <c r="B24" s="40">
        <v>4</v>
      </c>
      <c r="C24" s="75" t="str">
        <f ca="1">IF(ISBLANK(INDIRECT(ADDRESS(B24*2+2,3))),"",INDIRECT(ADDRESS(B24*2+2,3)))</f>
        <v>Прокофьева Катя</v>
      </c>
      <c r="D24" s="75"/>
      <c r="E24" s="76"/>
      <c r="F24" s="15">
        <v>7</v>
      </c>
      <c r="G24" s="16">
        <v>5</v>
      </c>
      <c r="H24" s="82" t="str">
        <f ca="1">IF(ISBLANK(INDIRECT(ADDRESS(K24*2+2,3))),"",INDIRECT(ADDRESS(K24*2+2,3)))</f>
        <v>Мирасахибу Асия</v>
      </c>
      <c r="I24" s="75"/>
      <c r="J24" s="75"/>
      <c r="K24" s="40">
        <v>5</v>
      </c>
      <c r="L24" s="26" t="s">
        <v>5</v>
      </c>
      <c r="M24" s="27">
        <v>3</v>
      </c>
    </row>
    <row r="25" spans="1:15" ht="30" customHeight="1"/>
    <row r="26" spans="1:15" ht="30" customHeight="1">
      <c r="B26" s="87" t="s">
        <v>10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5" ht="30" customHeight="1">
      <c r="B27" s="40">
        <v>6</v>
      </c>
      <c r="C27" s="75" t="str">
        <f ca="1">IF(ISBLANK(INDIRECT(ADDRESS(B27*2+2,3))),"",INDIRECT(ADDRESS(B27*2+2,3)))</f>
        <v>Плавич Степан</v>
      </c>
      <c r="D27" s="75"/>
      <c r="E27" s="76"/>
      <c r="F27" s="15">
        <v>0</v>
      </c>
      <c r="G27" s="16">
        <v>7</v>
      </c>
      <c r="H27" s="82" t="str">
        <f ca="1">IF(ISBLANK(INDIRECT(ADDRESS(K27*2+2,3))),"",INDIRECT(ADDRESS(K27*2+2,3)))</f>
        <v>Прокофьева Катя</v>
      </c>
      <c r="I27" s="75"/>
      <c r="J27" s="75"/>
      <c r="K27" s="40">
        <v>4</v>
      </c>
      <c r="L27" s="26" t="s">
        <v>5</v>
      </c>
      <c r="M27" s="27">
        <v>2</v>
      </c>
    </row>
    <row r="28" spans="1:15" ht="30" customHeight="1">
      <c r="B28" s="40">
        <v>7</v>
      </c>
      <c r="C28" s="75" t="str">
        <f ca="1">IF(ISBLANK(INDIRECT(ADDRESS(B28*2+2,3))),"",INDIRECT(ADDRESS(B28*2+2,3)))</f>
        <v>Попова Вика</v>
      </c>
      <c r="D28" s="75"/>
      <c r="E28" s="76"/>
      <c r="F28" s="15">
        <v>4</v>
      </c>
      <c r="G28" s="16">
        <v>7</v>
      </c>
      <c r="H28" s="82" t="str">
        <f ca="1">IF(ISBLANK(INDIRECT(ADDRESS(K28*2+2,3))),"",INDIRECT(ADDRESS(K28*2+2,3)))</f>
        <v>Круковский Герман</v>
      </c>
      <c r="I28" s="75"/>
      <c r="J28" s="75"/>
      <c r="K28" s="40">
        <v>3</v>
      </c>
      <c r="L28" s="26" t="s">
        <v>5</v>
      </c>
      <c r="M28" s="27">
        <v>3</v>
      </c>
    </row>
    <row r="29" spans="1:15" ht="30" customHeight="1">
      <c r="B29" s="40">
        <v>1</v>
      </c>
      <c r="C29" s="75" t="str">
        <f ca="1">IF(ISBLANK(INDIRECT(ADDRESS(B29*2+2,3))),"",INDIRECT(ADDRESS(B29*2+2,3)))</f>
        <v>Миронов Илья</v>
      </c>
      <c r="D29" s="75"/>
      <c r="E29" s="76"/>
      <c r="F29" s="15">
        <v>7</v>
      </c>
      <c r="G29" s="16">
        <v>6</v>
      </c>
      <c r="H29" s="82" t="str">
        <f ca="1">IF(ISBLANK(INDIRECT(ADDRESS(K29*2+2,3))),"",INDIRECT(ADDRESS(K29*2+2,3)))</f>
        <v>Попова Ксения</v>
      </c>
      <c r="I29" s="75"/>
      <c r="J29" s="75"/>
      <c r="K29" s="40">
        <v>2</v>
      </c>
      <c r="L29" s="26" t="s">
        <v>5</v>
      </c>
      <c r="M29" s="27">
        <v>1</v>
      </c>
    </row>
    <row r="30" spans="1:15" ht="30" customHeight="1"/>
    <row r="31" spans="1:15" ht="30" customHeight="1">
      <c r="B31" s="87" t="s">
        <v>11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5" ht="30" customHeight="1">
      <c r="B32" s="40">
        <v>3</v>
      </c>
      <c r="C32" s="75" t="str">
        <f ca="1">IF(ISBLANK(INDIRECT(ADDRESS(B32*2+2,3))),"",INDIRECT(ADDRESS(B32*2+2,3)))</f>
        <v>Круковский Герман</v>
      </c>
      <c r="D32" s="75"/>
      <c r="E32" s="76"/>
      <c r="F32" s="15">
        <v>7</v>
      </c>
      <c r="G32" s="16">
        <v>0</v>
      </c>
      <c r="H32" s="82" t="str">
        <f ca="1">IF(ISBLANK(INDIRECT(ADDRESS(K32*2+2,3))),"",INDIRECT(ADDRESS(K32*2+2,3)))</f>
        <v>Миронов Илья</v>
      </c>
      <c r="I32" s="75"/>
      <c r="J32" s="75"/>
      <c r="K32" s="40">
        <v>1</v>
      </c>
      <c r="L32" s="26" t="s">
        <v>5</v>
      </c>
      <c r="M32" s="27">
        <v>3</v>
      </c>
    </row>
    <row r="33" spans="2:13" ht="30" customHeight="1">
      <c r="B33" s="40">
        <v>4</v>
      </c>
      <c r="C33" s="75" t="str">
        <f ca="1">IF(ISBLANK(INDIRECT(ADDRESS(B33*2+2,3))),"",INDIRECT(ADDRESS(B33*2+2,3)))</f>
        <v>Прокофьева Катя</v>
      </c>
      <c r="D33" s="75"/>
      <c r="E33" s="76"/>
      <c r="F33" s="15">
        <v>6</v>
      </c>
      <c r="G33" s="16">
        <v>3</v>
      </c>
      <c r="H33" s="82" t="str">
        <f ca="1">IF(ISBLANK(INDIRECT(ADDRESS(K33*2+2,3))),"",INDIRECT(ADDRESS(K33*2+2,3)))</f>
        <v>Попова Вика</v>
      </c>
      <c r="I33" s="75"/>
      <c r="J33" s="75"/>
      <c r="K33" s="40">
        <v>7</v>
      </c>
      <c r="L33" s="26" t="s">
        <v>5</v>
      </c>
      <c r="M33" s="27">
        <v>1</v>
      </c>
    </row>
    <row r="34" spans="2:13" ht="30" customHeight="1">
      <c r="B34" s="40">
        <v>5</v>
      </c>
      <c r="C34" s="75" t="str">
        <f ca="1">IF(ISBLANK(INDIRECT(ADDRESS(B34*2+2,3))),"",INDIRECT(ADDRESS(B34*2+2,3)))</f>
        <v>Мирасахибу Асия</v>
      </c>
      <c r="D34" s="75"/>
      <c r="E34" s="76"/>
      <c r="F34" s="15">
        <v>6</v>
      </c>
      <c r="G34" s="16">
        <v>7</v>
      </c>
      <c r="H34" s="82" t="str">
        <f ca="1">IF(ISBLANK(INDIRECT(ADDRESS(K34*2+2,3))),"",INDIRECT(ADDRESS(K34*2+2,3)))</f>
        <v>Плавич Степан</v>
      </c>
      <c r="I34" s="75"/>
      <c r="J34" s="75"/>
      <c r="K34" s="40">
        <v>6</v>
      </c>
      <c r="L34" s="26" t="s">
        <v>5</v>
      </c>
      <c r="M34" s="27">
        <v>2</v>
      </c>
    </row>
    <row r="35" spans="2:13" ht="30" customHeight="1"/>
    <row r="36" spans="2:13" ht="30" customHeight="1">
      <c r="B36" s="87" t="s">
        <v>18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2:13" ht="30" customHeight="1">
      <c r="B37" s="40">
        <v>7</v>
      </c>
      <c r="C37" s="75" t="str">
        <f ca="1">IF(ISBLANK(INDIRECT(ADDRESS(B37*2+2,3))),"",INDIRECT(ADDRESS(B37*2+2,3)))</f>
        <v>Попова Вика</v>
      </c>
      <c r="D37" s="75"/>
      <c r="E37" s="76"/>
      <c r="F37" s="15">
        <v>3</v>
      </c>
      <c r="G37" s="16">
        <v>6</v>
      </c>
      <c r="H37" s="82" t="str">
        <f ca="1">IF(ISBLANK(INDIRECT(ADDRESS(K37*2+2,3))),"",INDIRECT(ADDRESS(K37*2+2,3)))</f>
        <v>Мирасахибу Асия</v>
      </c>
      <c r="I37" s="75"/>
      <c r="J37" s="75"/>
      <c r="K37" s="40">
        <v>5</v>
      </c>
      <c r="L37" s="26" t="s">
        <v>5</v>
      </c>
      <c r="M37" s="27">
        <v>1</v>
      </c>
    </row>
    <row r="38" spans="2:13" ht="30" customHeight="1">
      <c r="B38" s="40">
        <v>1</v>
      </c>
      <c r="C38" s="75" t="str">
        <f ca="1">IF(ISBLANK(INDIRECT(ADDRESS(B38*2+2,3))),"",INDIRECT(ADDRESS(B38*2+2,3)))</f>
        <v>Миронов Илья</v>
      </c>
      <c r="D38" s="75"/>
      <c r="E38" s="76"/>
      <c r="F38" s="15">
        <v>2</v>
      </c>
      <c r="G38" s="16">
        <v>7</v>
      </c>
      <c r="H38" s="82" t="str">
        <f ca="1">IF(ISBLANK(INDIRECT(ADDRESS(K38*2+2,3))),"",INDIRECT(ADDRESS(K38*2+2,3)))</f>
        <v>Прокофьева Катя</v>
      </c>
      <c r="I38" s="75"/>
      <c r="J38" s="75"/>
      <c r="K38" s="40">
        <v>4</v>
      </c>
      <c r="L38" s="26" t="s">
        <v>5</v>
      </c>
      <c r="M38" s="27">
        <v>2</v>
      </c>
    </row>
    <row r="39" spans="2:13" ht="30" customHeight="1">
      <c r="B39" s="40">
        <v>2</v>
      </c>
      <c r="C39" s="75" t="str">
        <f ca="1">IF(ISBLANK(INDIRECT(ADDRESS(B39*2+2,3))),"",INDIRECT(ADDRESS(B39*2+2,3)))</f>
        <v>Попова Ксения</v>
      </c>
      <c r="D39" s="75"/>
      <c r="E39" s="76"/>
      <c r="F39" s="15">
        <v>9</v>
      </c>
      <c r="G39" s="16">
        <v>1</v>
      </c>
      <c r="H39" s="82" t="str">
        <f ca="1">IF(ISBLANK(INDIRECT(ADDRESS(K39*2+2,3))),"",INDIRECT(ADDRESS(K39*2+2,3)))</f>
        <v>Круковский Герман</v>
      </c>
      <c r="I39" s="75"/>
      <c r="J39" s="75"/>
      <c r="K39" s="40">
        <v>3</v>
      </c>
      <c r="L39" s="26" t="s">
        <v>5</v>
      </c>
      <c r="M39" s="27">
        <v>3</v>
      </c>
    </row>
    <row r="40" spans="2:13" ht="30" customHeight="1"/>
    <row r="41" spans="2:13" ht="30" customHeight="1">
      <c r="B41" s="87" t="s">
        <v>19</v>
      </c>
      <c r="C41" s="87"/>
      <c r="D41" s="87"/>
      <c r="E41" s="87"/>
      <c r="F41" s="87"/>
      <c r="G41" s="87"/>
      <c r="H41" s="87"/>
      <c r="I41" s="87"/>
      <c r="J41" s="87"/>
      <c r="K41" s="87"/>
    </row>
    <row r="42" spans="2:13" ht="30" customHeight="1">
      <c r="B42" s="40">
        <v>4</v>
      </c>
      <c r="C42" s="75" t="str">
        <f ca="1">IF(ISBLANK(INDIRECT(ADDRESS(B42*2+2,3))),"",INDIRECT(ADDRESS(B42*2+2,3)))</f>
        <v>Прокофьева Катя</v>
      </c>
      <c r="D42" s="75"/>
      <c r="E42" s="76"/>
      <c r="F42" s="15">
        <v>4</v>
      </c>
      <c r="G42" s="16">
        <v>7</v>
      </c>
      <c r="H42" s="82" t="str">
        <f ca="1">IF(ISBLANK(INDIRECT(ADDRESS(K42*2+2,3))),"",INDIRECT(ADDRESS(K42*2+2,3)))</f>
        <v>Попова Ксения</v>
      </c>
      <c r="I42" s="75"/>
      <c r="J42" s="75"/>
      <c r="K42" s="40">
        <v>2</v>
      </c>
      <c r="L42" s="26" t="s">
        <v>5</v>
      </c>
      <c r="M42" s="27">
        <v>2</v>
      </c>
    </row>
    <row r="43" spans="2:13" ht="30" customHeight="1">
      <c r="B43" s="40">
        <v>5</v>
      </c>
      <c r="C43" s="75" t="str">
        <f ca="1">IF(ISBLANK(INDIRECT(ADDRESS(B43*2+2,3))),"",INDIRECT(ADDRESS(B43*2+2,3)))</f>
        <v>Мирасахибу Асия</v>
      </c>
      <c r="D43" s="75"/>
      <c r="E43" s="76"/>
      <c r="F43" s="15">
        <v>3</v>
      </c>
      <c r="G43" s="16">
        <v>1</v>
      </c>
      <c r="H43" s="82" t="str">
        <f ca="1">IF(ISBLANK(INDIRECT(ADDRESS(K43*2+2,3))),"",INDIRECT(ADDRESS(K43*2+2,3)))</f>
        <v>Миронов Илья</v>
      </c>
      <c r="I43" s="75"/>
      <c r="J43" s="75"/>
      <c r="K43" s="40">
        <v>1</v>
      </c>
      <c r="L43" s="26" t="s">
        <v>5</v>
      </c>
      <c r="M43" s="27">
        <v>3</v>
      </c>
    </row>
    <row r="44" spans="2:13" ht="30" customHeight="1">
      <c r="B44" s="40">
        <v>6</v>
      </c>
      <c r="C44" s="75" t="str">
        <f ca="1">IF(ISBLANK(INDIRECT(ADDRESS(B44*2+2,3))),"",INDIRECT(ADDRESS(B44*2+2,3)))</f>
        <v>Плавич Степан</v>
      </c>
      <c r="D44" s="75"/>
      <c r="E44" s="76"/>
      <c r="F44" s="15">
        <v>8</v>
      </c>
      <c r="G44" s="16">
        <v>0</v>
      </c>
      <c r="H44" s="82" t="str">
        <f ca="1">IF(ISBLANK(INDIRECT(ADDRESS(K44*2+2,3))),"",INDIRECT(ADDRESS(K44*2+2,3)))</f>
        <v>Попова Вика</v>
      </c>
      <c r="I44" s="75"/>
      <c r="J44" s="75"/>
      <c r="K44" s="40">
        <v>7</v>
      </c>
      <c r="L44" s="26" t="s">
        <v>5</v>
      </c>
      <c r="M44" s="27">
        <v>1</v>
      </c>
    </row>
    <row r="45" spans="2:13" ht="30" customHeight="1"/>
    <row r="46" spans="2:13" ht="30" customHeight="1">
      <c r="B46" s="87" t="s">
        <v>27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2:13" ht="30" customHeight="1">
      <c r="B47" s="40">
        <v>1</v>
      </c>
      <c r="C47" s="75" t="str">
        <f ca="1">IF(ISBLANK(INDIRECT(ADDRESS(B47*2+2,3))),"",INDIRECT(ADDRESS(B47*2+2,3)))</f>
        <v>Миронов Илья</v>
      </c>
      <c r="D47" s="75"/>
      <c r="E47" s="76"/>
      <c r="F47" s="15">
        <v>5</v>
      </c>
      <c r="G47" s="16">
        <v>3</v>
      </c>
      <c r="H47" s="82" t="str">
        <f ca="1">IF(ISBLANK(INDIRECT(ADDRESS(K47*2+2,3))),"",INDIRECT(ADDRESS(K47*2+2,3)))</f>
        <v>Плавич Степан</v>
      </c>
      <c r="I47" s="75"/>
      <c r="J47" s="75"/>
      <c r="K47" s="40">
        <v>6</v>
      </c>
      <c r="L47" s="26" t="s">
        <v>5</v>
      </c>
      <c r="M47" s="27">
        <v>3</v>
      </c>
    </row>
    <row r="48" spans="2:13" ht="30" customHeight="1">
      <c r="B48" s="40">
        <v>2</v>
      </c>
      <c r="C48" s="75" t="str">
        <f ca="1">IF(ISBLANK(INDIRECT(ADDRESS(B48*2+2,3))),"",INDIRECT(ADDRESS(B48*2+2,3)))</f>
        <v>Попова Ксения</v>
      </c>
      <c r="D48" s="75"/>
      <c r="E48" s="76"/>
      <c r="F48" s="15">
        <v>4</v>
      </c>
      <c r="G48" s="16">
        <v>3</v>
      </c>
      <c r="H48" s="82" t="str">
        <f ca="1">IF(ISBLANK(INDIRECT(ADDRESS(K48*2+2,3))),"",INDIRECT(ADDRESS(K48*2+2,3)))</f>
        <v>Мирасахибу Асия</v>
      </c>
      <c r="I48" s="75"/>
      <c r="J48" s="75"/>
      <c r="K48" s="40">
        <v>5</v>
      </c>
      <c r="L48" s="26" t="s">
        <v>5</v>
      </c>
      <c r="M48" s="27">
        <v>1</v>
      </c>
    </row>
    <row r="49" spans="2:13" ht="30" customHeight="1">
      <c r="B49" s="40">
        <v>3</v>
      </c>
      <c r="C49" s="75" t="str">
        <f ca="1">IF(ISBLANK(INDIRECT(ADDRESS(B49*2+2,3))),"",INDIRECT(ADDRESS(B49*2+2,3)))</f>
        <v>Круковский Герман</v>
      </c>
      <c r="D49" s="75"/>
      <c r="E49" s="76"/>
      <c r="F49" s="15">
        <v>3</v>
      </c>
      <c r="G49" s="16">
        <v>7</v>
      </c>
      <c r="H49" s="82" t="str">
        <f ca="1">IF(ISBLANK(INDIRECT(ADDRESS(K49*2+2,3))),"",INDIRECT(ADDRESS(K49*2+2,3)))</f>
        <v>Прокофьева Катя</v>
      </c>
      <c r="I49" s="75"/>
      <c r="J49" s="75"/>
      <c r="K49" s="40">
        <v>4</v>
      </c>
      <c r="L49" s="26" t="s">
        <v>5</v>
      </c>
      <c r="M49" s="27">
        <v>2</v>
      </c>
    </row>
    <row r="50" spans="2:13" ht="30" customHeight="1"/>
    <row r="51" spans="2:13" ht="30" customHeight="1">
      <c r="B51" s="87" t="s">
        <v>28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2:13" ht="30" customHeight="1">
      <c r="B52" s="40">
        <v>5</v>
      </c>
      <c r="C52" s="75" t="str">
        <f ca="1">IF(ISBLANK(INDIRECT(ADDRESS(B52*2+2,3))),"",INDIRECT(ADDRESS(B52*2+2,3)))</f>
        <v>Мирасахибу Асия</v>
      </c>
      <c r="D52" s="75"/>
      <c r="E52" s="76"/>
      <c r="F52" s="15">
        <v>2</v>
      </c>
      <c r="G52" s="16">
        <v>8</v>
      </c>
      <c r="H52" s="82" t="str">
        <f ca="1">IF(ISBLANK(INDIRECT(ADDRESS(K52*2+2,3))),"",INDIRECT(ADDRESS(K52*2+2,3)))</f>
        <v>Круковский Герман</v>
      </c>
      <c r="I52" s="75"/>
      <c r="J52" s="75"/>
      <c r="K52" s="40">
        <v>3</v>
      </c>
      <c r="L52" s="26" t="s">
        <v>5</v>
      </c>
      <c r="M52" s="27">
        <v>1</v>
      </c>
    </row>
    <row r="53" spans="2:13" ht="30" customHeight="1">
      <c r="B53" s="40">
        <v>6</v>
      </c>
      <c r="C53" s="75" t="str">
        <f ca="1">IF(ISBLANK(INDIRECT(ADDRESS(B53*2+2,3))),"",INDIRECT(ADDRESS(B53*2+2,3)))</f>
        <v>Плавич Степан</v>
      </c>
      <c r="D53" s="75"/>
      <c r="E53" s="76"/>
      <c r="F53" s="15">
        <v>5</v>
      </c>
      <c r="G53" s="16">
        <v>7</v>
      </c>
      <c r="H53" s="82" t="str">
        <f ca="1">IF(ISBLANK(INDIRECT(ADDRESS(K53*2+2,3))),"",INDIRECT(ADDRESS(K53*2+2,3)))</f>
        <v>Попова Ксения</v>
      </c>
      <c r="I53" s="75"/>
      <c r="J53" s="75"/>
      <c r="K53" s="40">
        <v>2</v>
      </c>
      <c r="L53" s="26" t="s">
        <v>5</v>
      </c>
      <c r="M53" s="27">
        <v>2</v>
      </c>
    </row>
    <row r="54" spans="2:13" ht="30" customHeight="1">
      <c r="B54" s="40">
        <v>7</v>
      </c>
      <c r="C54" s="75" t="str">
        <f ca="1">IF(ISBLANK(INDIRECT(ADDRESS(B54*2+2,3))),"",INDIRECT(ADDRESS(B54*2+2,3)))</f>
        <v>Попова Вика</v>
      </c>
      <c r="D54" s="75"/>
      <c r="E54" s="76"/>
      <c r="F54" s="15">
        <v>4</v>
      </c>
      <c r="G54" s="16">
        <v>7</v>
      </c>
      <c r="H54" s="82" t="str">
        <f ca="1">IF(ISBLANK(INDIRECT(ADDRESS(K54*2+2,3))),"",INDIRECT(ADDRESS(K54*2+2,3)))</f>
        <v>Миронов Илья</v>
      </c>
      <c r="I54" s="75"/>
      <c r="J54" s="75"/>
      <c r="K54" s="40">
        <v>1</v>
      </c>
      <c r="L54" s="26" t="s">
        <v>5</v>
      </c>
      <c r="M54" s="27">
        <v>3</v>
      </c>
    </row>
  </sheetData>
  <sheetCalcPr fullCalcOnLoad="1"/>
  <mergeCells count="79">
    <mergeCell ref="B1:K1"/>
    <mergeCell ref="C3:E3"/>
    <mergeCell ref="B21:K21"/>
    <mergeCell ref="C22:E22"/>
    <mergeCell ref="H22:J22"/>
    <mergeCell ref="C8:E9"/>
    <mergeCell ref="C4:E5"/>
    <mergeCell ref="B12:B13"/>
    <mergeCell ref="B14:B15"/>
    <mergeCell ref="B16:B17"/>
    <mergeCell ref="C23:E23"/>
    <mergeCell ref="C27:E27"/>
    <mergeCell ref="H27:J27"/>
    <mergeCell ref="H28:J28"/>
    <mergeCell ref="B31:K31"/>
    <mergeCell ref="C32:E32"/>
    <mergeCell ref="H32:J32"/>
    <mergeCell ref="H23:J23"/>
    <mergeCell ref="C24:E24"/>
    <mergeCell ref="H24:J24"/>
    <mergeCell ref="B26:K26"/>
    <mergeCell ref="C28:E28"/>
    <mergeCell ref="B41:K41"/>
    <mergeCell ref="H43:J43"/>
    <mergeCell ref="C44:E44"/>
    <mergeCell ref="C33:E33"/>
    <mergeCell ref="H33:J33"/>
    <mergeCell ref="C29:E29"/>
    <mergeCell ref="H29:J29"/>
    <mergeCell ref="B4:B5"/>
    <mergeCell ref="B6:B7"/>
    <mergeCell ref="B8:B9"/>
    <mergeCell ref="B10:B11"/>
    <mergeCell ref="C38:E38"/>
    <mergeCell ref="H38:J38"/>
    <mergeCell ref="C34:E34"/>
    <mergeCell ref="H34:J34"/>
    <mergeCell ref="B36:K36"/>
    <mergeCell ref="C37:E37"/>
    <mergeCell ref="C6:E7"/>
    <mergeCell ref="C49:E49"/>
    <mergeCell ref="B46:K46"/>
    <mergeCell ref="C47:E47"/>
    <mergeCell ref="H47:J47"/>
    <mergeCell ref="H42:J42"/>
    <mergeCell ref="C43:E43"/>
    <mergeCell ref="C39:E39"/>
    <mergeCell ref="H39:J39"/>
    <mergeCell ref="H37:J37"/>
    <mergeCell ref="M10:M11"/>
    <mergeCell ref="M12:M13"/>
    <mergeCell ref="C53:E53"/>
    <mergeCell ref="H53:J53"/>
    <mergeCell ref="C54:E54"/>
    <mergeCell ref="H54:J54"/>
    <mergeCell ref="B51:K51"/>
    <mergeCell ref="C10:E11"/>
    <mergeCell ref="C12:E13"/>
    <mergeCell ref="C48:E48"/>
    <mergeCell ref="C52:E52"/>
    <mergeCell ref="H52:J52"/>
    <mergeCell ref="H44:J44"/>
    <mergeCell ref="H49:J49"/>
    <mergeCell ref="M14:M15"/>
    <mergeCell ref="M16:M17"/>
    <mergeCell ref="C16:E17"/>
    <mergeCell ref="C14:E15"/>
    <mergeCell ref="H48:J48"/>
    <mergeCell ref="C42:E42"/>
    <mergeCell ref="O16:O17"/>
    <mergeCell ref="M4:M5"/>
    <mergeCell ref="O4:O5"/>
    <mergeCell ref="O6:O7"/>
    <mergeCell ref="O8:O9"/>
    <mergeCell ref="O10:O11"/>
    <mergeCell ref="O12:O13"/>
    <mergeCell ref="O14:O15"/>
    <mergeCell ref="M6:M7"/>
    <mergeCell ref="M8:M9"/>
  </mergeCells>
  <phoneticPr fontId="9" type="noConversion"/>
  <printOptions horizontalCentered="1"/>
  <pageMargins left="0.31496062992126" right="0.31496062992126" top="0.35433070866141703" bottom="0.55118110236220497" header="0.31496062992126" footer="0.31496062992126"/>
  <pageSetup paperSize="9" scale="53" orientation="portrait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B1" sqref="B1:K1"/>
    </sheetView>
  </sheetViews>
  <sheetFormatPr defaultColWidth="9" defaultRowHeight="15"/>
  <cols>
    <col min="1" max="1" width="4" customWidth="1"/>
    <col min="2" max="12" width="10.28515625" customWidth="1"/>
    <col min="13" max="13" width="10.28515625" style="66" customWidth="1"/>
    <col min="14" max="15" width="10.28515625" customWidth="1"/>
  </cols>
  <sheetData>
    <row r="1" spans="1:13" ht="59.2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M1"/>
    </row>
    <row r="2" spans="1:13">
      <c r="C2" t="s">
        <v>12</v>
      </c>
      <c r="M2"/>
    </row>
    <row r="3" spans="1:13" ht="30" customHeight="1">
      <c r="A3" s="40"/>
      <c r="B3" s="1"/>
      <c r="C3" s="95" t="s">
        <v>0</v>
      </c>
      <c r="D3" s="96"/>
      <c r="E3" s="97"/>
      <c r="F3" s="2">
        <v>1</v>
      </c>
      <c r="G3" s="2">
        <v>2</v>
      </c>
      <c r="H3" s="2">
        <v>3</v>
      </c>
      <c r="I3" s="17">
        <v>4</v>
      </c>
      <c r="J3" s="17">
        <v>5</v>
      </c>
      <c r="K3" s="1" t="s">
        <v>1</v>
      </c>
      <c r="L3" s="2" t="s">
        <v>2</v>
      </c>
      <c r="M3" s="64" t="s">
        <v>3</v>
      </c>
    </row>
    <row r="4" spans="1:13" ht="24" customHeight="1">
      <c r="A4" s="40"/>
      <c r="B4" s="98">
        <v>1</v>
      </c>
      <c r="C4" s="67" t="s">
        <v>13</v>
      </c>
      <c r="D4" s="68"/>
      <c r="E4" s="69"/>
      <c r="F4" s="3" t="s">
        <v>4</v>
      </c>
      <c r="G4" s="4" t="str">
        <f ca="1">INDIRECT(ADDRESS(23,6))&amp;":"&amp;INDIRECT(ADDRESS(23,7))</f>
        <v>13:7</v>
      </c>
      <c r="H4" s="4" t="str">
        <f ca="1">INDIRECT(ADDRESS(26,7))&amp;":"&amp;INDIRECT(ADDRESS(26,6))</f>
        <v>9:8</v>
      </c>
      <c r="I4" s="4" t="str">
        <f ca="1">INDIRECT(ADDRESS(30,6))&amp;":"&amp;INDIRECT(ADDRESS(30,7))</f>
        <v>13:10</v>
      </c>
      <c r="J4" s="20" t="str">
        <f ca="1">INDIRECT(ADDRESS(35,7))&amp;":"&amp;INDIRECT(ADDRESS(35,6))</f>
        <v>5:7</v>
      </c>
      <c r="K4" s="113">
        <f ca="1">IF(COUNT(F5:J5)=0,"",COUNTIF(F5:J5,"&gt;0")+0.5*COUNTIF(F5:J5,0))</f>
        <v>3</v>
      </c>
      <c r="L4" s="21"/>
      <c r="M4" s="110">
        <v>1</v>
      </c>
    </row>
    <row r="5" spans="1:13" ht="24" customHeight="1">
      <c r="A5" s="40"/>
      <c r="B5" s="99"/>
      <c r="C5" s="102"/>
      <c r="D5" s="103"/>
      <c r="E5" s="104"/>
      <c r="F5" s="5" t="s">
        <v>4</v>
      </c>
      <c r="G5" s="6">
        <f ca="1">IF(LEN(INDIRECT(ADDRESS(ROW()-1,COLUMN())))=1,"",INDIRECT(ADDRESS(23,6))-INDIRECT(ADDRESS(23,7)))</f>
        <v>6</v>
      </c>
      <c r="H5" s="6">
        <f ca="1">IF(LEN(INDIRECT(ADDRESS(ROW()-1,COLUMN())))=1,"",INDIRECT(ADDRESS(26,7))-INDIRECT(ADDRESS(26,6)))</f>
        <v>1</v>
      </c>
      <c r="I5" s="6">
        <f ca="1">IF(LEN(INDIRECT(ADDRESS(ROW()-1,COLUMN())))=1,"",INDIRECT(ADDRESS(30,6))-INDIRECT(ADDRESS(30,7)))</f>
        <v>3</v>
      </c>
      <c r="J5" s="22">
        <f ca="1">IF(LEN(INDIRECT(ADDRESS(ROW()-1,COLUMN())))=1,"",INDIRECT(ADDRESS(35,7))-INDIRECT(ADDRESS(35,6)))</f>
        <v>-2</v>
      </c>
      <c r="K5" s="77"/>
      <c r="L5" s="6">
        <f ca="1">IF(COUNT(F5:J5)=0,"",SUM(F5:J5))</f>
        <v>8</v>
      </c>
      <c r="M5" s="111"/>
    </row>
    <row r="6" spans="1:13" ht="24" customHeight="1">
      <c r="A6" s="40"/>
      <c r="B6" s="100">
        <v>2</v>
      </c>
      <c r="C6" s="67" t="s">
        <v>14</v>
      </c>
      <c r="D6" s="68"/>
      <c r="E6" s="69"/>
      <c r="F6" s="7" t="str">
        <f ca="1">INDIRECT(ADDRESS(23,7))&amp;":"&amp;INDIRECT(ADDRESS(23,6))</f>
        <v>7:13</v>
      </c>
      <c r="G6" s="8" t="s">
        <v>4</v>
      </c>
      <c r="H6" s="9" t="str">
        <f ca="1">INDIRECT(ADDRESS(31,6))&amp;":"&amp;INDIRECT(ADDRESS(31,7))</f>
        <v>8:13</v>
      </c>
      <c r="I6" s="9" t="str">
        <f ca="1">INDIRECT(ADDRESS(34,7))&amp;":"&amp;INDIRECT(ADDRESS(34,6))</f>
        <v>10:13</v>
      </c>
      <c r="J6" s="23" t="str">
        <f ca="1">INDIRECT(ADDRESS(18,6))&amp;":"&amp;INDIRECT(ADDRESS(18,7))</f>
        <v>11:4</v>
      </c>
      <c r="K6" s="77">
        <f ca="1">IF(COUNT(F7:J7)=0,"",COUNTIF(F7:J7,"&gt;0")+0.5*COUNTIF(F7:J7,0))</f>
        <v>1</v>
      </c>
      <c r="L6" s="6"/>
      <c r="M6" s="111">
        <v>5</v>
      </c>
    </row>
    <row r="7" spans="1:13" ht="24" customHeight="1">
      <c r="A7" s="40"/>
      <c r="B7" s="99"/>
      <c r="C7" s="67"/>
      <c r="D7" s="68"/>
      <c r="E7" s="69"/>
      <c r="F7" s="10">
        <f ca="1">IF(LEN(INDIRECT(ADDRESS(ROW()-1,COLUMN())))=1,"",INDIRECT(ADDRESS(23,7))-INDIRECT(ADDRESS(23,6)))</f>
        <v>-6</v>
      </c>
      <c r="G7" s="11" t="s">
        <v>4</v>
      </c>
      <c r="H7" s="6">
        <f ca="1">IF(LEN(INDIRECT(ADDRESS(ROW()-1,COLUMN())))=1,"",INDIRECT(ADDRESS(31,6))-INDIRECT(ADDRESS(31,7)))</f>
        <v>-5</v>
      </c>
      <c r="I7" s="6">
        <f ca="1">IF(LEN(INDIRECT(ADDRESS(ROW()-1,COLUMN())))=1,"",INDIRECT(ADDRESS(34,7))-INDIRECT(ADDRESS(34,6)))</f>
        <v>-3</v>
      </c>
      <c r="J7" s="22">
        <f ca="1">IF(LEN(INDIRECT(ADDRESS(ROW()-1,COLUMN())))=1,"",INDIRECT(ADDRESS(18,6))-INDIRECT(ADDRESS(18,7)))</f>
        <v>7</v>
      </c>
      <c r="K7" s="77"/>
      <c r="L7" s="6">
        <f ca="1">IF(COUNT(F7:J7)=0,"",SUM(F7:J7))</f>
        <v>-7</v>
      </c>
      <c r="M7" s="111"/>
    </row>
    <row r="8" spans="1:13" ht="24" customHeight="1">
      <c r="A8" s="40"/>
      <c r="B8" s="100">
        <v>3</v>
      </c>
      <c r="C8" s="67" t="s">
        <v>15</v>
      </c>
      <c r="D8" s="68"/>
      <c r="E8" s="69"/>
      <c r="F8" s="7" t="str">
        <f ca="1">INDIRECT(ADDRESS(26,6))&amp;":"&amp;INDIRECT(ADDRESS(26,7))</f>
        <v>8:9</v>
      </c>
      <c r="G8" s="9" t="str">
        <f ca="1">INDIRECT(ADDRESS(31,7))&amp;":"&amp;INDIRECT(ADDRESS(31,6))</f>
        <v>13:8</v>
      </c>
      <c r="H8" s="8" t="s">
        <v>4</v>
      </c>
      <c r="I8" s="9" t="str">
        <f ca="1">INDIRECT(ADDRESS(19,6))&amp;":"&amp;INDIRECT(ADDRESS(19,7))</f>
        <v>13:3</v>
      </c>
      <c r="J8" s="23" t="str">
        <f ca="1">INDIRECT(ADDRESS(22,7))&amp;":"&amp;INDIRECT(ADDRESS(22,6))</f>
        <v>9:8</v>
      </c>
      <c r="K8" s="77">
        <f ca="1">IF(COUNT(F9:J9)=0,"",COUNTIF(F9:J9,"&gt;0")+0.5*COUNTIF(F9:J9,0))</f>
        <v>3</v>
      </c>
      <c r="L8" s="6"/>
      <c r="M8" s="111">
        <v>2</v>
      </c>
    </row>
    <row r="9" spans="1:13" ht="24" customHeight="1">
      <c r="A9" s="40"/>
      <c r="B9" s="99"/>
      <c r="C9" s="67"/>
      <c r="D9" s="68"/>
      <c r="E9" s="69"/>
      <c r="F9" s="10">
        <f ca="1">IF(LEN(INDIRECT(ADDRESS(ROW()-1,COLUMN())))=1,"",INDIRECT(ADDRESS(26,6))-INDIRECT(ADDRESS(26,7)))</f>
        <v>-1</v>
      </c>
      <c r="G9" s="6">
        <f ca="1">IF(LEN(INDIRECT(ADDRESS(ROW()-1,COLUMN())))=1,"",INDIRECT(ADDRESS(31,7))-INDIRECT(ADDRESS(31,6)))</f>
        <v>5</v>
      </c>
      <c r="H9" s="11" t="s">
        <v>4</v>
      </c>
      <c r="I9" s="6">
        <f ca="1">IF(LEN(INDIRECT(ADDRESS(ROW()-1,COLUMN())))=1,"",INDIRECT(ADDRESS(19,6))-INDIRECT(ADDRESS(19,7)))</f>
        <v>10</v>
      </c>
      <c r="J9" s="22">
        <f ca="1">IF(LEN(INDIRECT(ADDRESS(ROW()-1,COLUMN())))=1,"",INDIRECT(ADDRESS(22,7))-INDIRECT(ADDRESS(22,6)))</f>
        <v>1</v>
      </c>
      <c r="K9" s="77"/>
      <c r="L9" s="6">
        <f ca="1">IF(COUNT(F9:J9)=0,"",SUM(F9:J9))</f>
        <v>15</v>
      </c>
      <c r="M9" s="111"/>
    </row>
    <row r="10" spans="1:13" ht="24" customHeight="1">
      <c r="A10" s="40"/>
      <c r="B10" s="100">
        <v>4</v>
      </c>
      <c r="C10" s="67" t="s">
        <v>16</v>
      </c>
      <c r="D10" s="68"/>
      <c r="E10" s="69"/>
      <c r="F10" s="7" t="str">
        <f ca="1">INDIRECT(ADDRESS(30,7))&amp;":"&amp;INDIRECT(ADDRESS(30,6))</f>
        <v>10:13</v>
      </c>
      <c r="G10" s="9" t="str">
        <f ca="1">INDIRECT(ADDRESS(34,6))&amp;":"&amp;INDIRECT(ADDRESS(34,7))</f>
        <v>13:10</v>
      </c>
      <c r="H10" s="9" t="str">
        <f ca="1">INDIRECT(ADDRESS(19,7))&amp;":"&amp;INDIRECT(ADDRESS(19,6))</f>
        <v>3:13</v>
      </c>
      <c r="I10" s="8" t="s">
        <v>4</v>
      </c>
      <c r="J10" s="23" t="str">
        <f ca="1">INDIRECT(ADDRESS(27,6))&amp;":"&amp;INDIRECT(ADDRESS(27,7))</f>
        <v>6:8</v>
      </c>
      <c r="K10" s="77">
        <f ca="1">IF(COUNT(F11:J11)=0,"",COUNTIF(F11:J11,"&gt;0")+0.5*COUNTIF(F11:J11,0))</f>
        <v>1</v>
      </c>
      <c r="L10" s="6"/>
      <c r="M10" s="111">
        <v>4</v>
      </c>
    </row>
    <row r="11" spans="1:13" ht="24" customHeight="1">
      <c r="A11" s="40"/>
      <c r="B11" s="99"/>
      <c r="C11" s="67"/>
      <c r="D11" s="68"/>
      <c r="E11" s="69"/>
      <c r="F11" s="10">
        <f ca="1">IF(LEN(INDIRECT(ADDRESS(ROW()-1,COLUMN())))=1,"",INDIRECT(ADDRESS(30,7))-INDIRECT(ADDRESS(30,6)))</f>
        <v>-3</v>
      </c>
      <c r="G11" s="6">
        <f ca="1">IF(LEN(INDIRECT(ADDRESS(ROW()-1,COLUMN())))=1,"",INDIRECT(ADDRESS(34,6))-INDIRECT(ADDRESS(34,7)))</f>
        <v>3</v>
      </c>
      <c r="H11" s="6">
        <f ca="1">IF(LEN(INDIRECT(ADDRESS(ROW()-1,COLUMN())))=1,"",INDIRECT(ADDRESS(19,7))-INDIRECT(ADDRESS(19,6)))</f>
        <v>-10</v>
      </c>
      <c r="I11" s="11" t="s">
        <v>4</v>
      </c>
      <c r="J11" s="22">
        <f ca="1">IF(LEN(INDIRECT(ADDRESS(ROW()-1,COLUMN())))=1,"",INDIRECT(ADDRESS(27,6))-INDIRECT(ADDRESS(27,7)))</f>
        <v>-2</v>
      </c>
      <c r="K11" s="77"/>
      <c r="L11" s="6">
        <f ca="1">IF(COUNT(F11:J11)=0,"",SUM(F11:J11))</f>
        <v>-12</v>
      </c>
      <c r="M11" s="111"/>
    </row>
    <row r="12" spans="1:13" ht="24" customHeight="1">
      <c r="A12" s="40"/>
      <c r="B12" s="100">
        <v>5</v>
      </c>
      <c r="C12" s="67" t="s">
        <v>17</v>
      </c>
      <c r="D12" s="68"/>
      <c r="E12" s="69"/>
      <c r="F12" s="7" t="str">
        <f ca="1">INDIRECT(ADDRESS(35,6))&amp;":"&amp;INDIRECT(ADDRESS(35,7))</f>
        <v>7:5</v>
      </c>
      <c r="G12" s="9" t="str">
        <f ca="1">INDIRECT(ADDRESS(18,7))&amp;":"&amp;INDIRECT(ADDRESS(18,6))</f>
        <v>4:11</v>
      </c>
      <c r="H12" s="9" t="str">
        <f ca="1">INDIRECT(ADDRESS(22,6))&amp;":"&amp;INDIRECT(ADDRESS(22,7))</f>
        <v>8:9</v>
      </c>
      <c r="I12" s="9" t="str">
        <f ca="1">INDIRECT(ADDRESS(27,7))&amp;":"&amp;INDIRECT(ADDRESS(27,6))</f>
        <v>8:6</v>
      </c>
      <c r="J12" s="24" t="s">
        <v>4</v>
      </c>
      <c r="K12" s="77">
        <f ca="1">IF(COUNT(F13:J13)=0,"",COUNTIF(F13:J13,"&gt;0")+0.5*COUNTIF(F13:J13,0))</f>
        <v>2</v>
      </c>
      <c r="L12" s="6"/>
      <c r="M12" s="111">
        <v>3</v>
      </c>
    </row>
    <row r="13" spans="1:13" ht="24" customHeight="1">
      <c r="A13" s="40"/>
      <c r="B13" s="101"/>
      <c r="C13" s="102"/>
      <c r="D13" s="103"/>
      <c r="E13" s="104"/>
      <c r="F13" s="12">
        <f ca="1">IF(LEN(INDIRECT(ADDRESS(ROW()-1,COLUMN())))=1,"",INDIRECT(ADDRESS(35,6))-INDIRECT(ADDRESS(35,7)))</f>
        <v>2</v>
      </c>
      <c r="G13" s="13">
        <f ca="1">IF(LEN(INDIRECT(ADDRESS(ROW()-1,COLUMN())))=1,"",INDIRECT(ADDRESS(18,7))-INDIRECT(ADDRESS(18,6)))</f>
        <v>-7</v>
      </c>
      <c r="H13" s="13">
        <f ca="1">IF(LEN(INDIRECT(ADDRESS(ROW()-1,COLUMN())))=1,"",INDIRECT(ADDRESS(22,6))-INDIRECT(ADDRESS(22,7)))</f>
        <v>-1</v>
      </c>
      <c r="I13" s="13">
        <f ca="1">IF(LEN(INDIRECT(ADDRESS(ROW()-1,COLUMN())))=1,"",INDIRECT(ADDRESS(27,7))-INDIRECT(ADDRESS(27,6)))</f>
        <v>2</v>
      </c>
      <c r="J13" s="25" t="s">
        <v>4</v>
      </c>
      <c r="K13" s="86"/>
      <c r="L13" s="13">
        <f ca="1">IF(COUNT(F13:J13)=0,"",SUM(F13:J13))</f>
        <v>-4</v>
      </c>
      <c r="M13" s="112"/>
    </row>
    <row r="14" spans="1:13">
      <c r="M14"/>
    </row>
    <row r="15" spans="1:13">
      <c r="M15"/>
    </row>
    <row r="16" spans="1:13">
      <c r="M16"/>
    </row>
    <row r="17" spans="2:13" ht="30" customHeight="1">
      <c r="B17" s="87" t="s">
        <v>9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2:13" ht="30" customHeight="1">
      <c r="B18" s="14">
        <v>2</v>
      </c>
      <c r="C18" s="75" t="str">
        <f ca="1">IF(ISBLANK(INDIRECT(ADDRESS(B18*2+2,3))),"",INDIRECT(ADDRESS(B18*2+2,3)))</f>
        <v>Федоров-Таратынова</v>
      </c>
      <c r="D18" s="75"/>
      <c r="E18" s="76"/>
      <c r="F18" s="15">
        <v>11</v>
      </c>
      <c r="G18" s="16">
        <v>4</v>
      </c>
      <c r="H18" s="82" t="str">
        <f ca="1">IF(ISBLANK(INDIRECT(ADDRESS(K18*2+2,3))),"",INDIRECT(ADDRESS(K18*2+2,3)))</f>
        <v>Майсов-Валуева</v>
      </c>
      <c r="I18" s="75"/>
      <c r="J18" s="75"/>
      <c r="K18" s="14">
        <v>5</v>
      </c>
      <c r="L18" s="26" t="s">
        <v>5</v>
      </c>
      <c r="M18" s="30">
        <v>5</v>
      </c>
    </row>
    <row r="19" spans="2:13" ht="30" customHeight="1">
      <c r="B19" s="14">
        <v>3</v>
      </c>
      <c r="C19" s="75" t="str">
        <f ca="1">IF(ISBLANK(INDIRECT(ADDRESS(B19*2+2,3))),"",INDIRECT(ADDRESS(B19*2+2,3)))</f>
        <v>Попов-Ерасова</v>
      </c>
      <c r="D19" s="75"/>
      <c r="E19" s="76"/>
      <c r="F19" s="15">
        <v>13</v>
      </c>
      <c r="G19" s="16">
        <v>3</v>
      </c>
      <c r="H19" s="82" t="str">
        <f ca="1">IF(ISBLANK(INDIRECT(ADDRESS(K19*2+2,3))),"",INDIRECT(ADDRESS(K19*2+2,3)))</f>
        <v>Мельшаков-Тюрикова</v>
      </c>
      <c r="I19" s="75"/>
      <c r="J19" s="75"/>
      <c r="K19" s="14">
        <v>4</v>
      </c>
      <c r="L19" s="26" t="s">
        <v>5</v>
      </c>
      <c r="M19" s="30">
        <v>6</v>
      </c>
    </row>
    <row r="20" spans="2:13" ht="30" customHeight="1">
      <c r="M20" s="40"/>
    </row>
    <row r="21" spans="2:13" ht="30" customHeight="1">
      <c r="B21" s="87" t="s">
        <v>10</v>
      </c>
      <c r="C21" s="87"/>
      <c r="D21" s="87"/>
      <c r="E21" s="87"/>
      <c r="F21" s="87"/>
      <c r="G21" s="87"/>
      <c r="H21" s="87"/>
      <c r="I21" s="87"/>
      <c r="J21" s="87"/>
      <c r="K21" s="87"/>
      <c r="M21" s="40"/>
    </row>
    <row r="22" spans="2:13" ht="30" customHeight="1">
      <c r="B22" s="14">
        <v>5</v>
      </c>
      <c r="C22" s="75" t="str">
        <f ca="1">IF(ISBLANK(INDIRECT(ADDRESS(B22*2+2,3))),"",INDIRECT(ADDRESS(B22*2+2,3)))</f>
        <v>Майсов-Валуева</v>
      </c>
      <c r="D22" s="75"/>
      <c r="E22" s="76"/>
      <c r="F22" s="15">
        <v>8</v>
      </c>
      <c r="G22" s="16">
        <v>9</v>
      </c>
      <c r="H22" s="82" t="str">
        <f ca="1">IF(ISBLANK(INDIRECT(ADDRESS(K22*2+2,3))),"",INDIRECT(ADDRESS(K22*2+2,3)))</f>
        <v>Попов-Ерасова</v>
      </c>
      <c r="I22" s="75"/>
      <c r="J22" s="75"/>
      <c r="K22" s="14">
        <v>3</v>
      </c>
      <c r="L22" s="26" t="s">
        <v>5</v>
      </c>
      <c r="M22" s="30">
        <v>6</v>
      </c>
    </row>
    <row r="23" spans="2:13" ht="30" customHeight="1">
      <c r="B23" s="14">
        <v>1</v>
      </c>
      <c r="C23" s="75" t="str">
        <f ca="1">IF(ISBLANK(INDIRECT(ADDRESS(B23*2+2,3))),"",INDIRECT(ADDRESS(B23*2+2,3)))</f>
        <v>Петров-Прокофьева</v>
      </c>
      <c r="D23" s="75"/>
      <c r="E23" s="76"/>
      <c r="F23" s="15">
        <v>13</v>
      </c>
      <c r="G23" s="16">
        <v>7</v>
      </c>
      <c r="H23" s="82" t="str">
        <f ca="1">IF(ISBLANK(INDIRECT(ADDRESS(K23*2+2,3))),"",INDIRECT(ADDRESS(K23*2+2,3)))</f>
        <v>Федоров-Таратынова</v>
      </c>
      <c r="I23" s="75"/>
      <c r="J23" s="75"/>
      <c r="K23" s="14">
        <v>2</v>
      </c>
      <c r="L23" s="26" t="s">
        <v>5</v>
      </c>
      <c r="M23" s="30">
        <v>5</v>
      </c>
    </row>
    <row r="24" spans="2:13" ht="30" customHeight="1">
      <c r="M24" s="40"/>
    </row>
    <row r="25" spans="2:13" ht="30" customHeight="1">
      <c r="B25" s="87" t="s">
        <v>11</v>
      </c>
      <c r="C25" s="87"/>
      <c r="D25" s="87"/>
      <c r="E25" s="87"/>
      <c r="F25" s="87"/>
      <c r="G25" s="87"/>
      <c r="H25" s="87"/>
      <c r="I25" s="87"/>
      <c r="J25" s="87"/>
      <c r="K25" s="87"/>
      <c r="M25" s="40"/>
    </row>
    <row r="26" spans="2:13" ht="30" customHeight="1">
      <c r="B26" s="14">
        <v>3</v>
      </c>
      <c r="C26" s="75" t="str">
        <f ca="1">IF(ISBLANK(INDIRECT(ADDRESS(B26*2+2,3))),"",INDIRECT(ADDRESS(B26*2+2,3)))</f>
        <v>Попов-Ерасова</v>
      </c>
      <c r="D26" s="75"/>
      <c r="E26" s="76"/>
      <c r="F26" s="15">
        <v>8</v>
      </c>
      <c r="G26" s="16">
        <v>9</v>
      </c>
      <c r="H26" s="82" t="str">
        <f ca="1">IF(ISBLANK(INDIRECT(ADDRESS(K26*2+2,3))),"",INDIRECT(ADDRESS(K26*2+2,3)))</f>
        <v>Петров-Прокофьева</v>
      </c>
      <c r="I26" s="75"/>
      <c r="J26" s="75"/>
      <c r="K26" s="14">
        <v>1</v>
      </c>
      <c r="L26" s="26" t="s">
        <v>5</v>
      </c>
      <c r="M26" s="30">
        <v>5</v>
      </c>
    </row>
    <row r="27" spans="2:13" ht="30" customHeight="1">
      <c r="B27" s="14">
        <v>4</v>
      </c>
      <c r="C27" s="75" t="str">
        <f ca="1">IF(ISBLANK(INDIRECT(ADDRESS(B27*2+2,3))),"",INDIRECT(ADDRESS(B27*2+2,3)))</f>
        <v>Мельшаков-Тюрикова</v>
      </c>
      <c r="D27" s="75"/>
      <c r="E27" s="76"/>
      <c r="F27" s="15">
        <v>6</v>
      </c>
      <c r="G27" s="16">
        <v>8</v>
      </c>
      <c r="H27" s="82" t="str">
        <f ca="1">IF(ISBLANK(INDIRECT(ADDRESS(K27*2+2,3))),"",INDIRECT(ADDRESS(K27*2+2,3)))</f>
        <v>Майсов-Валуева</v>
      </c>
      <c r="I27" s="75"/>
      <c r="J27" s="75"/>
      <c r="K27" s="14">
        <v>5</v>
      </c>
      <c r="L27" s="26" t="s">
        <v>5</v>
      </c>
      <c r="M27" s="30">
        <v>6</v>
      </c>
    </row>
    <row r="28" spans="2:13" ht="30" customHeight="1">
      <c r="M28" s="40"/>
    </row>
    <row r="29" spans="2:13" ht="30" customHeight="1">
      <c r="B29" s="87" t="s">
        <v>18</v>
      </c>
      <c r="C29" s="87"/>
      <c r="D29" s="87"/>
      <c r="E29" s="87"/>
      <c r="F29" s="87"/>
      <c r="G29" s="87"/>
      <c r="H29" s="87"/>
      <c r="I29" s="87"/>
      <c r="J29" s="87"/>
      <c r="K29" s="87"/>
      <c r="M29" s="40"/>
    </row>
    <row r="30" spans="2:13" ht="30" customHeight="1">
      <c r="B30" s="14">
        <v>1</v>
      </c>
      <c r="C30" s="75" t="str">
        <f ca="1">IF(ISBLANK(INDIRECT(ADDRESS(B30*2+2,3))),"",INDIRECT(ADDRESS(B30*2+2,3)))</f>
        <v>Петров-Прокофьева</v>
      </c>
      <c r="D30" s="75"/>
      <c r="E30" s="76"/>
      <c r="F30" s="15">
        <v>13</v>
      </c>
      <c r="G30" s="16">
        <v>10</v>
      </c>
      <c r="H30" s="82" t="str">
        <f ca="1">IF(ISBLANK(INDIRECT(ADDRESS(K30*2+2,3))),"",INDIRECT(ADDRESS(K30*2+2,3)))</f>
        <v>Мельшаков-Тюрикова</v>
      </c>
      <c r="I30" s="75"/>
      <c r="J30" s="75"/>
      <c r="K30" s="14">
        <v>4</v>
      </c>
      <c r="L30" s="26" t="s">
        <v>5</v>
      </c>
      <c r="M30" s="30">
        <v>6</v>
      </c>
    </row>
    <row r="31" spans="2:13" ht="30" customHeight="1">
      <c r="B31" s="14">
        <v>2</v>
      </c>
      <c r="C31" s="75" t="str">
        <f ca="1">IF(ISBLANK(INDIRECT(ADDRESS(B31*2+2,3))),"",INDIRECT(ADDRESS(B31*2+2,3)))</f>
        <v>Федоров-Таратынова</v>
      </c>
      <c r="D31" s="75"/>
      <c r="E31" s="76"/>
      <c r="F31" s="15">
        <v>8</v>
      </c>
      <c r="G31" s="16">
        <v>13</v>
      </c>
      <c r="H31" s="82" t="str">
        <f ca="1">IF(ISBLANK(INDIRECT(ADDRESS(K31*2+2,3))),"",INDIRECT(ADDRESS(K31*2+2,3)))</f>
        <v>Попов-Ерасова</v>
      </c>
      <c r="I31" s="75"/>
      <c r="J31" s="75"/>
      <c r="K31" s="14">
        <v>3</v>
      </c>
      <c r="L31" s="26" t="s">
        <v>5</v>
      </c>
      <c r="M31" s="30">
        <v>5</v>
      </c>
    </row>
    <row r="32" spans="2:13" ht="30" customHeight="1">
      <c r="M32" s="40"/>
    </row>
    <row r="33" spans="2:13" ht="30" customHeight="1">
      <c r="B33" s="87" t="s">
        <v>19</v>
      </c>
      <c r="C33" s="87"/>
      <c r="D33" s="87"/>
      <c r="E33" s="87"/>
      <c r="F33" s="87"/>
      <c r="G33" s="87"/>
      <c r="H33" s="87"/>
      <c r="I33" s="87"/>
      <c r="J33" s="87"/>
      <c r="K33" s="87"/>
      <c r="M33" s="40"/>
    </row>
    <row r="34" spans="2:13" ht="30" customHeight="1">
      <c r="B34" s="14">
        <v>4</v>
      </c>
      <c r="C34" s="75" t="str">
        <f ca="1">IF(ISBLANK(INDIRECT(ADDRESS(B34*2+2,3))),"",INDIRECT(ADDRESS(B34*2+2,3)))</f>
        <v>Мельшаков-Тюрикова</v>
      </c>
      <c r="D34" s="75"/>
      <c r="E34" s="76"/>
      <c r="F34" s="15">
        <v>13</v>
      </c>
      <c r="G34" s="16">
        <v>10</v>
      </c>
      <c r="H34" s="82" t="str">
        <f ca="1">IF(ISBLANK(INDIRECT(ADDRESS(K34*2+2,3))),"",INDIRECT(ADDRESS(K34*2+2,3)))</f>
        <v>Федоров-Таратынова</v>
      </c>
      <c r="I34" s="75"/>
      <c r="J34" s="75"/>
      <c r="K34" s="14">
        <v>2</v>
      </c>
      <c r="L34" s="26" t="s">
        <v>5</v>
      </c>
      <c r="M34" s="30">
        <v>5</v>
      </c>
    </row>
    <row r="35" spans="2:13" ht="30" customHeight="1">
      <c r="B35" s="14">
        <v>5</v>
      </c>
      <c r="C35" s="75" t="str">
        <f ca="1">IF(ISBLANK(INDIRECT(ADDRESS(B35*2+2,3))),"",INDIRECT(ADDRESS(B35*2+2,3)))</f>
        <v>Майсов-Валуева</v>
      </c>
      <c r="D35" s="75"/>
      <c r="E35" s="76"/>
      <c r="F35" s="15">
        <v>7</v>
      </c>
      <c r="G35" s="16">
        <v>5</v>
      </c>
      <c r="H35" s="82" t="str">
        <f ca="1">IF(ISBLANK(INDIRECT(ADDRESS(K35*2+2,3))),"",INDIRECT(ADDRESS(K35*2+2,3)))</f>
        <v>Петров-Прокофьева</v>
      </c>
      <c r="I35" s="75"/>
      <c r="J35" s="75"/>
      <c r="K35" s="14">
        <v>1</v>
      </c>
      <c r="L35" s="26" t="s">
        <v>5</v>
      </c>
      <c r="M35" s="30">
        <v>6</v>
      </c>
    </row>
  </sheetData>
  <sheetCalcPr fullCalcOnLoad="1"/>
  <mergeCells count="47">
    <mergeCell ref="H30:J30"/>
    <mergeCell ref="B1:K1"/>
    <mergeCell ref="C3:E3"/>
    <mergeCell ref="B17:K17"/>
    <mergeCell ref="C18:E18"/>
    <mergeCell ref="H18:J18"/>
    <mergeCell ref="K4:K5"/>
    <mergeCell ref="K6:K7"/>
    <mergeCell ref="K8:K9"/>
    <mergeCell ref="K10:K11"/>
    <mergeCell ref="H22:J22"/>
    <mergeCell ref="C34:E34"/>
    <mergeCell ref="H34:J34"/>
    <mergeCell ref="C8:E9"/>
    <mergeCell ref="C12:E13"/>
    <mergeCell ref="C26:E26"/>
    <mergeCell ref="H26:J26"/>
    <mergeCell ref="H27:J27"/>
    <mergeCell ref="B29:K29"/>
    <mergeCell ref="C30:E30"/>
    <mergeCell ref="M12:M13"/>
    <mergeCell ref="M4:M5"/>
    <mergeCell ref="M6:M7"/>
    <mergeCell ref="M8:M9"/>
    <mergeCell ref="M10:M11"/>
    <mergeCell ref="H19:J19"/>
    <mergeCell ref="K12:K13"/>
    <mergeCell ref="C35:E35"/>
    <mergeCell ref="H35:J35"/>
    <mergeCell ref="B4:B5"/>
    <mergeCell ref="B6:B7"/>
    <mergeCell ref="B8:B9"/>
    <mergeCell ref="B10:B11"/>
    <mergeCell ref="B12:B13"/>
    <mergeCell ref="C6:E7"/>
    <mergeCell ref="C10:E11"/>
    <mergeCell ref="C4:E5"/>
    <mergeCell ref="H31:J31"/>
    <mergeCell ref="B33:K33"/>
    <mergeCell ref="C31:E31"/>
    <mergeCell ref="C27:E27"/>
    <mergeCell ref="C23:E23"/>
    <mergeCell ref="C19:E19"/>
    <mergeCell ref="H23:J23"/>
    <mergeCell ref="B25:K25"/>
    <mergeCell ref="B21:K21"/>
    <mergeCell ref="C22:E22"/>
  </mergeCells>
  <phoneticPr fontId="9" type="noConversion"/>
  <printOptions horizontalCentered="1"/>
  <pageMargins left="0.31496062992126" right="0.31496062992126" top="0.35433070866141703" bottom="0.55118110236220497" header="0.31496062992126" footer="0.31496062992126"/>
  <pageSetup paperSize="9" scale="76" orientation="portrait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ColWidth="9" defaultRowHeight="15"/>
  <cols>
    <col min="9" max="10" width="9" style="29"/>
    <col min="16" max="18" width="9.140625" customWidth="1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>
        <f t="shared" si="1"/>
        <v>33</v>
      </c>
      <c r="N1" t="e">
        <f t="shared" si="1"/>
        <v>#N/A</v>
      </c>
      <c r="O1">
        <f t="shared" si="1"/>
        <v>44</v>
      </c>
      <c r="P1" t="e">
        <f t="shared" si="1"/>
        <v>#N/A</v>
      </c>
      <c r="Q1">
        <f t="shared" si="1"/>
        <v>55</v>
      </c>
      <c r="R1" t="e">
        <f t="shared" si="1"/>
        <v>#N/A</v>
      </c>
      <c r="S1">
        <f t="shared" si="1"/>
        <v>24</v>
      </c>
      <c r="U1" t="e">
        <f t="shared" ref="U1:AB8" si="2">MATCH(A1,$J:$J,0)</f>
        <v>#N/A</v>
      </c>
      <c r="V1" t="e">
        <f t="shared" si="2"/>
        <v>#N/A</v>
      </c>
      <c r="W1">
        <f t="shared" si="2"/>
        <v>37</v>
      </c>
      <c r="X1" t="e">
        <f t="shared" si="2"/>
        <v>#N/A</v>
      </c>
      <c r="Y1">
        <f t="shared" si="2"/>
        <v>50</v>
      </c>
      <c r="Z1" t="e">
        <f t="shared" si="2"/>
        <v>#N/A</v>
      </c>
      <c r="AA1">
        <f t="shared" si="2"/>
        <v>63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>
        <f t="shared" si="5"/>
        <v>45</v>
      </c>
      <c r="O2" t="e">
        <f t="shared" ref="O2:S4" si="6">MATCH(D2,$I:$I,0)</f>
        <v>#N/A</v>
      </c>
      <c r="P2">
        <f t="shared" si="6"/>
        <v>56</v>
      </c>
      <c r="Q2" t="e">
        <f t="shared" si="6"/>
        <v>#N/A</v>
      </c>
      <c r="R2">
        <f t="shared" si="6"/>
        <v>25</v>
      </c>
      <c r="S2">
        <f t="shared" si="6"/>
        <v>36</v>
      </c>
      <c r="U2">
        <f t="shared" si="2"/>
        <v>33</v>
      </c>
      <c r="V2" t="e">
        <f t="shared" si="2"/>
        <v>#N/A</v>
      </c>
      <c r="W2" t="e">
        <f t="shared" si="2"/>
        <v>#N/A</v>
      </c>
      <c r="X2">
        <f t="shared" si="2"/>
        <v>49</v>
      </c>
      <c r="Y2" t="e">
        <f t="shared" si="2"/>
        <v>#N/A</v>
      </c>
      <c r="Z2">
        <f t="shared" si="2"/>
        <v>62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>
        <f t="shared" si="5"/>
        <v>37</v>
      </c>
      <c r="M3" t="e">
        <f t="shared" si="5"/>
        <v>#N/A</v>
      </c>
      <c r="N3" t="e">
        <f t="shared" si="5"/>
        <v>#N/A</v>
      </c>
      <c r="O3">
        <f t="shared" si="6"/>
        <v>57</v>
      </c>
      <c r="P3" t="e">
        <f t="shared" si="6"/>
        <v>#N/A</v>
      </c>
      <c r="Q3">
        <f t="shared" si="6"/>
        <v>26</v>
      </c>
      <c r="R3" t="e">
        <f t="shared" si="6"/>
        <v>#N/A</v>
      </c>
      <c r="S3">
        <f t="shared" si="6"/>
        <v>48</v>
      </c>
      <c r="U3" t="e">
        <f t="shared" si="2"/>
        <v>#N/A</v>
      </c>
      <c r="V3">
        <f t="shared" si="2"/>
        <v>45</v>
      </c>
      <c r="W3" t="e">
        <f t="shared" si="2"/>
        <v>#N/A</v>
      </c>
      <c r="X3" t="e">
        <f t="shared" si="2"/>
        <v>#N/A</v>
      </c>
      <c r="Y3">
        <f t="shared" si="2"/>
        <v>61</v>
      </c>
      <c r="Z3" t="e">
        <f t="shared" si="2"/>
        <v>#N/A</v>
      </c>
      <c r="AA3">
        <f t="shared" si="2"/>
        <v>32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>
        <f t="shared" si="5"/>
        <v>49</v>
      </c>
      <c r="N4" t="e">
        <f t="shared" si="5"/>
        <v>#N/A</v>
      </c>
      <c r="O4" t="e">
        <f>MATCH(D4,$I:$I,0)</f>
        <v>#N/A</v>
      </c>
      <c r="P4">
        <f t="shared" si="6"/>
        <v>27</v>
      </c>
      <c r="Q4" t="e">
        <f t="shared" si="6"/>
        <v>#N/A</v>
      </c>
      <c r="R4">
        <f t="shared" si="6"/>
        <v>38</v>
      </c>
      <c r="S4">
        <f t="shared" si="6"/>
        <v>60</v>
      </c>
      <c r="U4">
        <f t="shared" si="2"/>
        <v>44</v>
      </c>
      <c r="V4" t="e">
        <f t="shared" si="2"/>
        <v>#N/A</v>
      </c>
      <c r="W4">
        <f t="shared" si="2"/>
        <v>57</v>
      </c>
      <c r="X4" t="e">
        <f t="shared" si="2"/>
        <v>#N/A</v>
      </c>
      <c r="Y4" t="e">
        <f t="shared" si="2"/>
        <v>#N/A</v>
      </c>
      <c r="Z4">
        <f t="shared" si="2"/>
        <v>31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>
        <f t="shared" ref="L5:S6" si="8">MATCH(A5,$I:$I,0)</f>
        <v>50</v>
      </c>
      <c r="M5" t="e">
        <f t="shared" si="8"/>
        <v>#N/A</v>
      </c>
      <c r="N5">
        <f t="shared" si="8"/>
        <v>61</v>
      </c>
      <c r="O5" t="e">
        <f t="shared" si="8"/>
        <v>#N/A</v>
      </c>
      <c r="P5" t="e">
        <f t="shared" si="8"/>
        <v>#N/A</v>
      </c>
      <c r="Q5">
        <f t="shared" si="8"/>
        <v>39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>
        <f t="shared" si="2"/>
        <v>56</v>
      </c>
      <c r="W5" t="e">
        <f t="shared" si="2"/>
        <v>#N/A</v>
      </c>
      <c r="X5">
        <f t="shared" si="2"/>
        <v>27</v>
      </c>
      <c r="Y5" t="e">
        <f t="shared" si="2"/>
        <v>#N/A</v>
      </c>
      <c r="Z5" t="e">
        <f t="shared" si="2"/>
        <v>#N/A</v>
      </c>
      <c r="AA5">
        <f t="shared" si="2"/>
        <v>43</v>
      </c>
      <c r="AB5">
        <f t="shared" si="2"/>
        <v>30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>
        <f t="shared" si="8"/>
        <v>62</v>
      </c>
      <c r="N6" t="e">
        <f t="shared" si="8"/>
        <v>#N/A</v>
      </c>
      <c r="O6">
        <f t="shared" si="8"/>
        <v>31</v>
      </c>
      <c r="P6" t="e">
        <f t="shared" si="8"/>
        <v>#N/A</v>
      </c>
      <c r="Q6" t="e">
        <f t="shared" si="8"/>
        <v>#N/A</v>
      </c>
      <c r="R6">
        <f t="shared" si="8"/>
        <v>51</v>
      </c>
      <c r="S6" t="e">
        <f t="shared" si="8"/>
        <v>#N/A</v>
      </c>
      <c r="U6">
        <f t="shared" si="2"/>
        <v>55</v>
      </c>
      <c r="V6" t="e">
        <f t="shared" si="2"/>
        <v>#N/A</v>
      </c>
      <c r="W6">
        <f t="shared" si="2"/>
        <v>26</v>
      </c>
      <c r="X6" t="e">
        <f t="shared" si="2"/>
        <v>#N/A</v>
      </c>
      <c r="Y6">
        <f t="shared" si="2"/>
        <v>39</v>
      </c>
      <c r="Z6" t="e">
        <f t="shared" si="2"/>
        <v>#N/A</v>
      </c>
      <c r="AA6" t="e">
        <f t="shared" si="2"/>
        <v>#N/A</v>
      </c>
      <c r="AB6">
        <f t="shared" si="2"/>
        <v>42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>
        <f t="shared" ref="L7:S8" si="9">MATCH(A7,$I:$I,0)</f>
        <v>63</v>
      </c>
      <c r="M7" t="e">
        <f t="shared" si="9"/>
        <v>#N/A</v>
      </c>
      <c r="N7">
        <f t="shared" si="9"/>
        <v>32</v>
      </c>
      <c r="O7" t="e">
        <f t="shared" si="9"/>
        <v>#N/A</v>
      </c>
      <c r="P7">
        <f t="shared" si="9"/>
        <v>43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>
        <f t="shared" si="2"/>
        <v>25</v>
      </c>
      <c r="W7" t="e">
        <f t="shared" si="2"/>
        <v>#N/A</v>
      </c>
      <c r="X7">
        <f t="shared" si="2"/>
        <v>38</v>
      </c>
      <c r="Y7" t="e">
        <f t="shared" si="2"/>
        <v>#N/A</v>
      </c>
      <c r="Z7">
        <f t="shared" si="2"/>
        <v>51</v>
      </c>
      <c r="AA7" t="e">
        <f t="shared" si="2"/>
        <v>#N/A</v>
      </c>
      <c r="AB7">
        <f t="shared" si="2"/>
        <v>54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>
        <f t="shared" si="9"/>
        <v>30</v>
      </c>
      <c r="Q8">
        <f t="shared" si="9"/>
        <v>42</v>
      </c>
      <c r="R8">
        <f t="shared" si="9"/>
        <v>54</v>
      </c>
      <c r="S8" t="e">
        <f t="shared" si="9"/>
        <v>#N/A</v>
      </c>
      <c r="U8">
        <f t="shared" si="2"/>
        <v>24</v>
      </c>
      <c r="V8">
        <f t="shared" si="2"/>
        <v>36</v>
      </c>
      <c r="W8">
        <f t="shared" si="2"/>
        <v>48</v>
      </c>
      <c r="X8">
        <f t="shared" si="2"/>
        <v>60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e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N11" t="str">
        <f t="shared" ca="1" si="10"/>
        <v/>
      </c>
      <c r="O11" t="e">
        <f t="shared" ca="1" si="10"/>
        <v>#NAME?</v>
      </c>
      <c r="P11" t="str">
        <f t="shared" ca="1" si="10"/>
        <v/>
      </c>
      <c r="Q11" t="e">
        <f t="shared" ca="1" si="10"/>
        <v>#NAME?</v>
      </c>
      <c r="R11" t="str">
        <f t="shared" ca="1" si="10"/>
        <v/>
      </c>
      <c r="S11" t="e">
        <f t="shared" ca="1" si="10"/>
        <v>#NAME?</v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e">
        <f t="shared" ca="1" si="11"/>
        <v>#NAME?</v>
      </c>
      <c r="X11" t="str">
        <f t="shared" ca="1" si="11"/>
        <v/>
      </c>
      <c r="Y11" t="e">
        <f t="shared" ca="1" si="11"/>
        <v>#NAME?</v>
      </c>
      <c r="Z11" t="str">
        <f t="shared" ca="1" si="11"/>
        <v/>
      </c>
      <c r="AA11" t="e">
        <f t="shared" ca="1" si="11"/>
        <v>#NAME?</v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e">
        <f t="shared" ca="1" si="12"/>
        <v>#NAME?</v>
      </c>
      <c r="N12" t="str">
        <f t="shared" ca="1" si="12"/>
        <v/>
      </c>
      <c r="O12" t="e">
        <f t="shared" ca="1" si="12"/>
        <v>#NAME?</v>
      </c>
      <c r="P12" t="str">
        <f t="shared" ca="1" si="12"/>
        <v/>
      </c>
      <c r="Q12" t="e">
        <f t="shared" ca="1" si="12"/>
        <v>#NAME?</v>
      </c>
      <c r="R12" t="str">
        <f t="shared" ca="1" si="12"/>
        <v/>
      </c>
      <c r="S12" t="e">
        <f t="shared" ca="1" si="12"/>
        <v>#NAME?</v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e">
        <f t="shared" ca="1" si="13"/>
        <v>#NAME?</v>
      </c>
      <c r="X12" t="str">
        <f t="shared" ca="1" si="13"/>
        <v/>
      </c>
      <c r="Y12" t="e">
        <f t="shared" ca="1" si="13"/>
        <v>#NAME?</v>
      </c>
      <c r="Z12" t="str">
        <f t="shared" ca="1" si="13"/>
        <v/>
      </c>
      <c r="AA12" t="e">
        <f t="shared" ca="1" si="13"/>
        <v>#NAME?</v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e">
        <f t="shared" ca="1" si="12"/>
        <v>#NAME?</v>
      </c>
      <c r="O13" t="str">
        <f t="shared" ca="1" si="12"/>
        <v/>
      </c>
      <c r="P13" t="e">
        <f t="shared" ca="1" si="12"/>
        <v>#NAME?</v>
      </c>
      <c r="Q13" t="str">
        <f t="shared" ca="1" si="12"/>
        <v/>
      </c>
      <c r="R13" t="e">
        <f t="shared" ca="1" si="12"/>
        <v>#NAME?</v>
      </c>
      <c r="S13" t="e">
        <f t="shared" ca="1" si="12"/>
        <v>#NAME?</v>
      </c>
      <c r="U13" t="e">
        <f t="shared" ca="1" si="13"/>
        <v>#NAME?</v>
      </c>
      <c r="V13" t="str">
        <f t="shared" ca="1" si="13"/>
        <v/>
      </c>
      <c r="W13" t="str">
        <f t="shared" ca="1" si="13"/>
        <v/>
      </c>
      <c r="X13" t="e">
        <f t="shared" ca="1" si="13"/>
        <v>#NAME?</v>
      </c>
      <c r="Y13" t="str">
        <f t="shared" ca="1" si="13"/>
        <v/>
      </c>
      <c r="Z13" t="e">
        <f t="shared" ca="1" si="13"/>
        <v>#NAME?</v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e">
        <f t="shared" ca="1" si="12"/>
        <v>#NAME?</v>
      </c>
      <c r="O14" t="str">
        <f t="shared" ca="1" si="12"/>
        <v/>
      </c>
      <c r="P14" t="e">
        <f t="shared" ca="1" si="12"/>
        <v>#NAME?</v>
      </c>
      <c r="Q14" t="str">
        <f t="shared" ca="1" si="12"/>
        <v/>
      </c>
      <c r="R14" t="e">
        <f t="shared" ca="1" si="12"/>
        <v>#NAME?</v>
      </c>
      <c r="S14" t="e">
        <f t="shared" ca="1" si="12"/>
        <v>#NAME?</v>
      </c>
      <c r="U14" t="e">
        <f t="shared" ca="1" si="13"/>
        <v>#NAME?</v>
      </c>
      <c r="V14" t="str">
        <f t="shared" ca="1" si="13"/>
        <v/>
      </c>
      <c r="W14" t="str">
        <f t="shared" ca="1" si="13"/>
        <v/>
      </c>
      <c r="X14" t="e">
        <f t="shared" ca="1" si="13"/>
        <v>#NAME?</v>
      </c>
      <c r="Y14" t="str">
        <f t="shared" ca="1" si="13"/>
        <v/>
      </c>
      <c r="Z14" t="e">
        <f t="shared" ca="1" si="13"/>
        <v>#NAME?</v>
      </c>
      <c r="AA14" t="str">
        <f t="shared" ca="1" si="13"/>
        <v/>
      </c>
      <c r="AB14" t="str">
        <f t="shared" ca="1" si="13"/>
        <v/>
      </c>
    </row>
    <row r="15" spans="1:28">
      <c r="L15" t="e">
        <f t="shared" ca="1" si="12"/>
        <v>#NAME?</v>
      </c>
      <c r="M15" t="str">
        <f t="shared" ca="1" si="12"/>
        <v/>
      </c>
      <c r="N15" t="str">
        <f t="shared" ca="1" si="12"/>
        <v/>
      </c>
      <c r="O15" t="e">
        <f t="shared" ca="1" si="12"/>
        <v>#NAME?</v>
      </c>
      <c r="P15" t="str">
        <f t="shared" ca="1" si="12"/>
        <v/>
      </c>
      <c r="Q15" t="e">
        <f t="shared" ca="1" si="12"/>
        <v>#NAME?</v>
      </c>
      <c r="R15" t="str">
        <f t="shared" ca="1" si="12"/>
        <v/>
      </c>
      <c r="S15" t="e">
        <f t="shared" ca="1" si="12"/>
        <v>#NAME?</v>
      </c>
      <c r="U15" t="str">
        <f t="shared" ca="1" si="13"/>
        <v/>
      </c>
      <c r="V15" t="e">
        <f t="shared" ca="1" si="13"/>
        <v>#NAME?</v>
      </c>
      <c r="W15" t="str">
        <f t="shared" ca="1" si="13"/>
        <v/>
      </c>
      <c r="X15" t="str">
        <f t="shared" ca="1" si="13"/>
        <v/>
      </c>
      <c r="Y15" t="e">
        <f t="shared" ca="1" si="13"/>
        <v>#NAME?</v>
      </c>
      <c r="Z15" t="str">
        <f t="shared" ca="1" si="13"/>
        <v/>
      </c>
      <c r="AA15" t="e">
        <f t="shared" ca="1" si="13"/>
        <v>#NAME?</v>
      </c>
      <c r="AB15" t="str">
        <f t="shared" ca="1" si="13"/>
        <v/>
      </c>
    </row>
    <row r="16" spans="1:28">
      <c r="L16" t="e">
        <f t="shared" ca="1" si="12"/>
        <v>#NAME?</v>
      </c>
      <c r="M16" t="str">
        <f t="shared" ca="1" si="12"/>
        <v/>
      </c>
      <c r="N16" t="str">
        <f t="shared" ca="1" si="12"/>
        <v/>
      </c>
      <c r="O16" t="e">
        <f t="shared" ca="1" si="12"/>
        <v>#NAME?</v>
      </c>
      <c r="P16" t="str">
        <f t="shared" ca="1" si="12"/>
        <v/>
      </c>
      <c r="Q16" t="e">
        <f t="shared" ca="1" si="12"/>
        <v>#NAME?</v>
      </c>
      <c r="R16" t="str">
        <f t="shared" ca="1" si="12"/>
        <v/>
      </c>
      <c r="S16" t="e">
        <f t="shared" ca="1" si="12"/>
        <v>#NAME?</v>
      </c>
      <c r="U16" t="str">
        <f t="shared" ca="1" si="13"/>
        <v/>
      </c>
      <c r="V16" t="e">
        <f t="shared" ca="1" si="13"/>
        <v>#NAME?</v>
      </c>
      <c r="W16" t="str">
        <f t="shared" ca="1" si="13"/>
        <v/>
      </c>
      <c r="X16" t="str">
        <f t="shared" ca="1" si="13"/>
        <v/>
      </c>
      <c r="Y16" t="e">
        <f t="shared" ca="1" si="13"/>
        <v>#NAME?</v>
      </c>
      <c r="Z16" t="str">
        <f t="shared" ca="1" si="13"/>
        <v/>
      </c>
      <c r="AA16" t="e">
        <f t="shared" ca="1" si="13"/>
        <v>#NAME?</v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e">
        <f t="shared" ca="1" si="12"/>
        <v>#NAME?</v>
      </c>
      <c r="N17" t="str">
        <f t="shared" ca="1" si="12"/>
        <v/>
      </c>
      <c r="O17" t="str">
        <f t="shared" ca="1" si="12"/>
        <v/>
      </c>
      <c r="P17" t="e">
        <f t="shared" ca="1" si="12"/>
        <v>#NAME?</v>
      </c>
      <c r="Q17" t="str">
        <f t="shared" ca="1" si="12"/>
        <v/>
      </c>
      <c r="R17" t="e">
        <f t="shared" ca="1" si="12"/>
        <v>#NAME?</v>
      </c>
      <c r="S17" t="e">
        <f t="shared" ca="1" si="12"/>
        <v>#NAME?</v>
      </c>
      <c r="U17" t="e">
        <f t="shared" ca="1" si="13"/>
        <v>#NAME?</v>
      </c>
      <c r="V17" t="str">
        <f t="shared" ca="1" si="13"/>
        <v/>
      </c>
      <c r="W17" t="e">
        <f t="shared" ca="1" si="13"/>
        <v>#NAME?</v>
      </c>
      <c r="X17" t="str">
        <f t="shared" ca="1" si="13"/>
        <v/>
      </c>
      <c r="Y17" t="str">
        <f t="shared" ca="1" si="13"/>
        <v/>
      </c>
      <c r="Z17" t="e">
        <f t="shared" ca="1" si="13"/>
        <v>#NAME?</v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e">
        <f t="shared" ca="1" si="12"/>
        <v>#NAME?</v>
      </c>
      <c r="N18" t="str">
        <f t="shared" ca="1" si="12"/>
        <v/>
      </c>
      <c r="O18" t="str">
        <f t="shared" ca="1" si="12"/>
        <v/>
      </c>
      <c r="P18" t="e">
        <f t="shared" ca="1" si="12"/>
        <v>#NAME?</v>
      </c>
      <c r="Q18" t="str">
        <f t="shared" ca="1" si="12"/>
        <v/>
      </c>
      <c r="R18" t="e">
        <f t="shared" ca="1" si="12"/>
        <v>#NAME?</v>
      </c>
      <c r="S18" t="e">
        <f t="shared" ca="1" si="12"/>
        <v>#NAME?</v>
      </c>
      <c r="U18" t="e">
        <f t="shared" ca="1" si="13"/>
        <v>#NAME?</v>
      </c>
      <c r="V18" t="str">
        <f t="shared" ca="1" si="13"/>
        <v/>
      </c>
      <c r="W18" t="e">
        <f t="shared" ca="1" si="13"/>
        <v>#NAME?</v>
      </c>
      <c r="X18" t="str">
        <f t="shared" ca="1" si="13"/>
        <v/>
      </c>
      <c r="Y18" t="str">
        <f t="shared" ca="1" si="13"/>
        <v/>
      </c>
      <c r="Z18" t="e">
        <f t="shared" ca="1" si="13"/>
        <v>#NAME?</v>
      </c>
      <c r="AA18" t="str">
        <f t="shared" ca="1" si="13"/>
        <v/>
      </c>
      <c r="AB18" t="str">
        <f t="shared" ca="1" si="13"/>
        <v/>
      </c>
    </row>
    <row r="19" spans="9:28">
      <c r="L19" t="e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19" t="str">
        <f t="shared" ca="1" si="12"/>
        <v/>
      </c>
      <c r="N19" t="e">
        <f t="shared" ca="1" si="12"/>
        <v>#NAME?</v>
      </c>
      <c r="O19" t="str">
        <f t="shared" ca="1" si="12"/>
        <v/>
      </c>
      <c r="P19" t="str">
        <f t="shared" ca="1" si="12"/>
        <v/>
      </c>
      <c r="Q19" t="e">
        <f t="shared" ca="1" si="12"/>
        <v>#NAME?</v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e">
        <f t="shared" ca="1" si="13"/>
        <v>#NAME?</v>
      </c>
      <c r="W19" t="str">
        <f t="shared" ca="1" si="13"/>
        <v/>
      </c>
      <c r="X19" t="e">
        <f t="shared" ca="1" si="13"/>
        <v>#NAME?</v>
      </c>
      <c r="Y19" t="str">
        <f t="shared" ca="1" si="13"/>
        <v/>
      </c>
      <c r="Z19" t="str">
        <f t="shared" ca="1" si="13"/>
        <v/>
      </c>
      <c r="AA19" t="e">
        <f t="shared" ca="1" si="13"/>
        <v>#NAME?</v>
      </c>
      <c r="AB19" t="e">
        <f t="shared" ca="1" si="13"/>
        <v>#NAME?</v>
      </c>
    </row>
    <row r="20" spans="9:28">
      <c r="L20" t="e">
        <f t="shared" ca="1" si="12"/>
        <v>#NAME?</v>
      </c>
      <c r="M20" t="str">
        <f t="shared" ca="1" si="12"/>
        <v/>
      </c>
      <c r="N20" t="e">
        <f t="shared" ca="1" si="12"/>
        <v>#NAME?</v>
      </c>
      <c r="O20" t="str">
        <f t="shared" ca="1" si="12"/>
        <v/>
      </c>
      <c r="P20" t="str">
        <f t="shared" ca="1" si="12"/>
        <v/>
      </c>
      <c r="Q20" t="e">
        <f t="shared" ca="1" si="12"/>
        <v>#NAME?</v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e">
        <f t="shared" ca="1" si="13"/>
        <v>#NAME?</v>
      </c>
      <c r="W20" t="str">
        <f t="shared" ca="1" si="13"/>
        <v/>
      </c>
      <c r="X20" t="e">
        <f t="shared" ca="1" si="13"/>
        <v>#NAME?</v>
      </c>
      <c r="Y20" t="str">
        <f t="shared" ca="1" si="13"/>
        <v/>
      </c>
      <c r="Z20" t="str">
        <f t="shared" ca="1" si="13"/>
        <v/>
      </c>
      <c r="AA20" t="e">
        <f t="shared" ca="1" si="13"/>
        <v>#NAME?</v>
      </c>
      <c r="AB20" t="e">
        <f t="shared" ca="1" si="13"/>
        <v>#NAME?</v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e">
        <f t="shared" ca="1" si="12"/>
        <v>#NAME?</v>
      </c>
      <c r="N21" t="str">
        <f t="shared" ca="1" si="12"/>
        <v/>
      </c>
      <c r="O21" t="e">
        <f t="shared" ca="1" si="12"/>
        <v>#NAME?</v>
      </c>
      <c r="P21" t="str">
        <f t="shared" ca="1" si="12"/>
        <v/>
      </c>
      <c r="Q21" t="str">
        <f t="shared" ca="1" si="12"/>
        <v/>
      </c>
      <c r="R21" t="e">
        <f t="shared" ca="1" si="12"/>
        <v>#NAME?</v>
      </c>
      <c r="S21" t="str">
        <f t="shared" ca="1" si="12"/>
        <v/>
      </c>
      <c r="U21" t="e">
        <f t="shared" ca="1" si="13"/>
        <v>#NAME?</v>
      </c>
      <c r="V21" t="str">
        <f t="shared" ca="1" si="13"/>
        <v/>
      </c>
      <c r="W21" t="e">
        <f t="shared" ca="1" si="13"/>
        <v>#NAME?</v>
      </c>
      <c r="X21" t="str">
        <f t="shared" ca="1" si="13"/>
        <v/>
      </c>
      <c r="Y21" t="e">
        <f t="shared" ca="1" si="13"/>
        <v>#NAME?</v>
      </c>
      <c r="Z21" t="str">
        <f t="shared" ca="1" si="13"/>
        <v/>
      </c>
      <c r="AA21" t="str">
        <f t="shared" ca="1" si="13"/>
        <v/>
      </c>
      <c r="AB21" t="e">
        <f t="shared" ca="1" si="13"/>
        <v>#NAME?</v>
      </c>
    </row>
    <row r="22" spans="9:28">
      <c r="L22" t="str">
        <f t="shared" ca="1" si="12"/>
        <v/>
      </c>
      <c r="M22" t="e">
        <f t="shared" ca="1" si="12"/>
        <v>#NAME?</v>
      </c>
      <c r="N22" t="str">
        <f t="shared" ca="1" si="12"/>
        <v/>
      </c>
      <c r="O22" t="e">
        <f t="shared" ca="1" si="12"/>
        <v>#NAME?</v>
      </c>
      <c r="P22" t="str">
        <f t="shared" ca="1" si="12"/>
        <v/>
      </c>
      <c r="Q22" t="str">
        <f t="shared" ca="1" si="12"/>
        <v/>
      </c>
      <c r="R22" t="e">
        <f t="shared" ca="1" si="12"/>
        <v>#NAME?</v>
      </c>
      <c r="S22" t="str">
        <f t="shared" ca="1" si="12"/>
        <v/>
      </c>
      <c r="U22" t="e">
        <f t="shared" ca="1" si="13"/>
        <v>#NAME?</v>
      </c>
      <c r="V22" t="str">
        <f t="shared" ca="1" si="13"/>
        <v/>
      </c>
      <c r="W22" t="e">
        <f t="shared" ca="1" si="13"/>
        <v>#NAME?</v>
      </c>
      <c r="X22" t="str">
        <f t="shared" ca="1" si="13"/>
        <v/>
      </c>
      <c r="Y22" t="e">
        <f t="shared" ca="1" si="13"/>
        <v>#NAME?</v>
      </c>
      <c r="Z22" t="str">
        <f t="shared" ca="1" si="13"/>
        <v/>
      </c>
      <c r="AA22" t="str">
        <f t="shared" ca="1" si="13"/>
        <v/>
      </c>
      <c r="AB22" t="e">
        <f t="shared" ca="1" si="13"/>
        <v>#NAME?</v>
      </c>
    </row>
    <row r="23" spans="9:28">
      <c r="L23" t="e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23" t="str">
        <f t="shared" ca="1" si="12"/>
        <v/>
      </c>
      <c r="N23" t="e">
        <f t="shared" ca="1" si="12"/>
        <v>#NAME?</v>
      </c>
      <c r="O23" t="str">
        <f t="shared" ca="1" si="12"/>
        <v/>
      </c>
      <c r="P23" t="e">
        <f t="shared" ca="1" si="12"/>
        <v>#NAME?</v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e">
        <f t="shared" ca="1" si="13"/>
        <v>#NAME?</v>
      </c>
      <c r="W23" t="str">
        <f t="shared" ca="1" si="13"/>
        <v/>
      </c>
      <c r="X23" t="e">
        <f t="shared" ca="1" si="13"/>
        <v>#NAME?</v>
      </c>
      <c r="Y23" t="str">
        <f t="shared" ca="1" si="13"/>
        <v/>
      </c>
      <c r="Z23" t="e">
        <f t="shared" ca="1" si="13"/>
        <v>#NAME?</v>
      </c>
      <c r="AA23" t="str">
        <f t="shared" ca="1" si="13"/>
        <v/>
      </c>
      <c r="AB23" t="e">
        <f t="shared" ca="1" si="13"/>
        <v>#NAME?</v>
      </c>
    </row>
    <row r="24" spans="9:28">
      <c r="I24" s="29" t="str">
        <f ca="1">'Группа А'!B24&amp;'Группа А'!K24</f>
        <v>18</v>
      </c>
      <c r="J24" s="29" t="str">
        <f ca="1">'Группа А'!K24&amp;'Группа А'!B24</f>
        <v>81</v>
      </c>
      <c r="L24" t="e">
        <f t="shared" ca="1" si="12"/>
        <v>#NAME?</v>
      </c>
      <c r="M24" t="str">
        <f t="shared" ca="1" si="12"/>
        <v/>
      </c>
      <c r="N24" t="e">
        <f t="shared" ca="1" si="12"/>
        <v>#NAME?</v>
      </c>
      <c r="O24" t="str">
        <f t="shared" ca="1" si="12"/>
        <v/>
      </c>
      <c r="P24" t="e">
        <f t="shared" ca="1" si="12"/>
        <v>#NAME?</v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e">
        <f t="shared" ca="1" si="13"/>
        <v>#NAME?</v>
      </c>
      <c r="W24" t="str">
        <f t="shared" ca="1" si="13"/>
        <v/>
      </c>
      <c r="X24" t="e">
        <f t="shared" ca="1" si="13"/>
        <v>#NAME?</v>
      </c>
      <c r="Y24" t="str">
        <f t="shared" ca="1" si="13"/>
        <v/>
      </c>
      <c r="Z24" t="e">
        <f t="shared" ca="1" si="13"/>
        <v>#NAME?</v>
      </c>
      <c r="AA24" t="str">
        <f t="shared" ca="1" si="13"/>
        <v/>
      </c>
      <c r="AB24" t="e">
        <f t="shared" ca="1" si="13"/>
        <v>#NAME?</v>
      </c>
    </row>
    <row r="25" spans="9:28">
      <c r="I25" s="29" t="str">
        <f ca="1">'Группа А'!B25&amp;'Группа А'!K25</f>
        <v>27</v>
      </c>
      <c r="J25" s="29" t="str">
        <f ca="1">'Группа А'!K25&amp;'Группа А'!B25</f>
        <v>72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e">
        <f t="shared" ca="1" si="12"/>
        <v>#NAME?</v>
      </c>
      <c r="Q25" t="e">
        <f t="shared" ca="1" si="12"/>
        <v>#NAME?</v>
      </c>
      <c r="R25" t="e">
        <f t="shared" ca="1" si="12"/>
        <v>#NAME?</v>
      </c>
      <c r="S25" t="str">
        <f t="shared" ca="1" si="12"/>
        <v/>
      </c>
      <c r="U25" t="e">
        <f t="shared" ca="1" si="13"/>
        <v>#NAME?</v>
      </c>
      <c r="V25" t="e">
        <f t="shared" ca="1" si="13"/>
        <v>#NAME?</v>
      </c>
      <c r="W25" t="e">
        <f t="shared" ca="1" si="13"/>
        <v>#NAME?</v>
      </c>
      <c r="X25" t="e">
        <f t="shared" ca="1" si="13"/>
        <v>#NAME?</v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29" t="str">
        <f ca="1">'Группа А'!B26&amp;'Группа А'!K26</f>
        <v>36</v>
      </c>
      <c r="J26" s="29" t="str">
        <f ca="1">'Группа А'!K26&amp;'Группа А'!B26</f>
        <v>63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e">
        <f t="shared" ca="1" si="12"/>
        <v>#NAME?</v>
      </c>
      <c r="Q26" t="e">
        <f t="shared" ca="1" si="12"/>
        <v>#NAME?</v>
      </c>
      <c r="R26" t="e">
        <f t="shared" ca="1" si="12"/>
        <v>#NAME?</v>
      </c>
      <c r="S26" t="str">
        <f t="shared" ca="1" si="12"/>
        <v/>
      </c>
      <c r="U26" t="e">
        <f t="shared" ca="1" si="13"/>
        <v>#NAME?</v>
      </c>
      <c r="V26" t="e">
        <f t="shared" ca="1" si="13"/>
        <v>#NAME?</v>
      </c>
      <c r="W26" t="e">
        <f t="shared" ca="1" si="13"/>
        <v>#NAME?</v>
      </c>
      <c r="X26" t="e">
        <f t="shared" ca="1" si="13"/>
        <v>#NAME?</v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29" t="str">
        <f ca="1">'Группа А'!B27&amp;'Группа А'!K27</f>
        <v>45</v>
      </c>
      <c r="J27" s="29" t="str">
        <f ca="1">'Группа А'!K27&amp;'Группа А'!B27</f>
        <v>54</v>
      </c>
    </row>
    <row r="28" spans="9:28">
      <c r="I28" s="29" t="str">
        <f ca="1">'Группа А'!B28&amp;'Группа А'!K28</f>
        <v/>
      </c>
      <c r="J28" s="29" t="str">
        <f ca="1">'Группа А'!K28&amp;'Группа А'!B28</f>
        <v/>
      </c>
      <c r="L28" t="str">
        <f t="shared" ref="L28:L43" ca="1" si="14">"№"&amp;L11&amp;U11</f>
        <v>№</v>
      </c>
      <c r="M28" t="e">
        <f t="shared" ref="M28:M43" ca="1" si="15">"№"&amp;M11&amp;V11</f>
        <v>#NAME?</v>
      </c>
      <c r="N28" t="e">
        <f t="shared" ref="N28:N43" ca="1" si="16">"№"&amp;N11&amp;W11</f>
        <v>#NAME?</v>
      </c>
      <c r="O28" t="e">
        <f t="shared" ref="O28:O43" ca="1" si="17">"№"&amp;O11&amp;X11</f>
        <v>#NAME?</v>
      </c>
      <c r="P28" t="e">
        <f t="shared" ref="P28:P43" ca="1" si="18">"№"&amp;P11&amp;Y11</f>
        <v>#NAME?</v>
      </c>
      <c r="Q28" t="e">
        <f t="shared" ref="Q28:Q43" ca="1" si="19">"№"&amp;Q11&amp;Z11</f>
        <v>#NAME?</v>
      </c>
      <c r="R28" t="e">
        <f t="shared" ref="R28:R43" ca="1" si="20">"№"&amp;R11&amp;AA11</f>
        <v>#NAME?</v>
      </c>
      <c r="S28" t="e">
        <f t="shared" ref="S28:S43" ca="1" si="21">"№"&amp;S11&amp;AB11</f>
        <v>#NAME?</v>
      </c>
    </row>
    <row r="29" spans="9:28">
      <c r="L29" t="str">
        <f t="shared" ca="1" si="14"/>
        <v>№</v>
      </c>
      <c r="M29" t="e">
        <f t="shared" ca="1" si="15"/>
        <v>#NAME?</v>
      </c>
      <c r="N29" t="e">
        <f t="shared" ca="1" si="16"/>
        <v>#NAME?</v>
      </c>
      <c r="O29" t="e">
        <f t="shared" ca="1" si="17"/>
        <v>#NAME?</v>
      </c>
      <c r="P29" t="e">
        <f t="shared" ca="1" si="18"/>
        <v>#NAME?</v>
      </c>
      <c r="Q29" t="e">
        <f t="shared" ca="1" si="19"/>
        <v>#NAME?</v>
      </c>
      <c r="R29" t="e">
        <f t="shared" ca="1" si="20"/>
        <v>#NAME?</v>
      </c>
      <c r="S29" t="e">
        <f t="shared" ca="1" si="21"/>
        <v>#NAME?</v>
      </c>
    </row>
    <row r="30" spans="9:28">
      <c r="I30" s="29" t="str">
        <f ca="1">'Группа А'!B30&amp;'Группа А'!K30</f>
        <v>85</v>
      </c>
      <c r="J30" s="29" t="str">
        <f ca="1">'Группа А'!K30&amp;'Группа А'!B30</f>
        <v>58</v>
      </c>
      <c r="L30" t="e">
        <f t="shared" ca="1" si="14"/>
        <v>#NAME?</v>
      </c>
      <c r="M30" t="str">
        <f t="shared" ca="1" si="15"/>
        <v>№</v>
      </c>
      <c r="N30" t="e">
        <f t="shared" ca="1" si="16"/>
        <v>#NAME?</v>
      </c>
      <c r="O30" t="e">
        <f t="shared" ca="1" si="17"/>
        <v>#NAME?</v>
      </c>
      <c r="P30" t="e">
        <f t="shared" ca="1" si="18"/>
        <v>#NAME?</v>
      </c>
      <c r="Q30" t="e">
        <f t="shared" ca="1" si="19"/>
        <v>#NAME?</v>
      </c>
      <c r="R30" t="e">
        <f t="shared" ca="1" si="20"/>
        <v>#NAME?</v>
      </c>
      <c r="S30" t="e">
        <f t="shared" ca="1" si="21"/>
        <v>#NAME?</v>
      </c>
    </row>
    <row r="31" spans="9:28">
      <c r="I31" s="29" t="str">
        <f ca="1">'Группа А'!B31&amp;'Группа А'!K31</f>
        <v>64</v>
      </c>
      <c r="J31" s="29" t="str">
        <f ca="1">'Группа А'!K31&amp;'Группа А'!B31</f>
        <v>46</v>
      </c>
      <c r="L31" t="e">
        <f t="shared" ca="1" si="14"/>
        <v>#NAME?</v>
      </c>
      <c r="M31" t="str">
        <f t="shared" ca="1" si="15"/>
        <v>№</v>
      </c>
      <c r="N31" t="e">
        <f t="shared" ca="1" si="16"/>
        <v>#NAME?</v>
      </c>
      <c r="O31" t="e">
        <f t="shared" ca="1" si="17"/>
        <v>#NAME?</v>
      </c>
      <c r="P31" t="e">
        <f t="shared" ca="1" si="18"/>
        <v>#NAME?</v>
      </c>
      <c r="Q31" t="e">
        <f t="shared" ca="1" si="19"/>
        <v>#NAME?</v>
      </c>
      <c r="R31" t="e">
        <f t="shared" ca="1" si="20"/>
        <v>#NAME?</v>
      </c>
      <c r="S31" t="e">
        <f t="shared" ca="1" si="21"/>
        <v>#NAME?</v>
      </c>
    </row>
    <row r="32" spans="9:28">
      <c r="I32" s="29" t="str">
        <f ca="1">'Группа А'!B32&amp;'Группа А'!K32</f>
        <v>73</v>
      </c>
      <c r="J32" s="29" t="str">
        <f ca="1">'Группа А'!K32&amp;'Группа А'!B32</f>
        <v>37</v>
      </c>
      <c r="L32" t="e">
        <f t="shared" ca="1" si="14"/>
        <v>#NAME?</v>
      </c>
      <c r="M32" t="e">
        <f t="shared" ca="1" si="15"/>
        <v>#NAME?</v>
      </c>
      <c r="N32" t="str">
        <f t="shared" ca="1" si="16"/>
        <v>№</v>
      </c>
      <c r="O32" t="e">
        <f t="shared" ca="1" si="17"/>
        <v>#NAME?</v>
      </c>
      <c r="P32" t="e">
        <f t="shared" ca="1" si="18"/>
        <v>#NAME?</v>
      </c>
      <c r="Q32" t="e">
        <f t="shared" ca="1" si="19"/>
        <v>#NAME?</v>
      </c>
      <c r="R32" t="e">
        <f t="shared" ca="1" si="20"/>
        <v>#NAME?</v>
      </c>
      <c r="S32" t="e">
        <f t="shared" ca="1" si="21"/>
        <v>#NAME?</v>
      </c>
    </row>
    <row r="33" spans="9:19">
      <c r="I33" s="29" t="str">
        <f ca="1">'Группа А'!B33&amp;'Группа А'!K33</f>
        <v>12</v>
      </c>
      <c r="J33" s="29" t="str">
        <f ca="1">'Группа А'!K33&amp;'Группа А'!B33</f>
        <v>21</v>
      </c>
      <c r="L33" t="e">
        <f t="shared" ca="1" si="14"/>
        <v>#NAME?</v>
      </c>
      <c r="M33" t="e">
        <f t="shared" ca="1" si="15"/>
        <v>#NAME?</v>
      </c>
      <c r="N33" t="str">
        <f t="shared" ca="1" si="16"/>
        <v>№</v>
      </c>
      <c r="O33" t="e">
        <f t="shared" ca="1" si="17"/>
        <v>#NAME?</v>
      </c>
      <c r="P33" t="e">
        <f t="shared" ca="1" si="18"/>
        <v>#NAME?</v>
      </c>
      <c r="Q33" t="e">
        <f t="shared" ca="1" si="19"/>
        <v>#NAME?</v>
      </c>
      <c r="R33" t="e">
        <f t="shared" ca="1" si="20"/>
        <v>#NAME?</v>
      </c>
      <c r="S33" t="e">
        <f t="shared" ca="1" si="21"/>
        <v>#NAME?</v>
      </c>
    </row>
    <row r="34" spans="9:19">
      <c r="I34" s="29" t="str">
        <f ca="1">'Группа А'!B34&amp;'Группа А'!K34</f>
        <v/>
      </c>
      <c r="J34" s="29" t="str">
        <f ca="1">'Группа А'!K34&amp;'Группа А'!B34</f>
        <v/>
      </c>
      <c r="L34" t="e">
        <f t="shared" ca="1" si="14"/>
        <v>#NAME?</v>
      </c>
      <c r="M34" t="e">
        <f t="shared" ca="1" si="15"/>
        <v>#NAME?</v>
      </c>
      <c r="N34" t="e">
        <f t="shared" ca="1" si="16"/>
        <v>#NAME?</v>
      </c>
      <c r="O34" t="str">
        <f t="shared" ca="1" si="17"/>
        <v>№</v>
      </c>
      <c r="P34" t="e">
        <f t="shared" ca="1" si="18"/>
        <v>#NAME?</v>
      </c>
      <c r="Q34" t="e">
        <f t="shared" ca="1" si="19"/>
        <v>#NAME?</v>
      </c>
      <c r="R34" t="e">
        <f t="shared" ca="1" si="20"/>
        <v>#NAME?</v>
      </c>
      <c r="S34" t="e">
        <f t="shared" ca="1" si="21"/>
        <v>#NAME?</v>
      </c>
    </row>
    <row r="35" spans="9:19">
      <c r="L35" t="e">
        <f t="shared" ca="1" si="14"/>
        <v>#NAME?</v>
      </c>
      <c r="M35" t="e">
        <f t="shared" ca="1" si="15"/>
        <v>#NAME?</v>
      </c>
      <c r="N35" t="e">
        <f t="shared" ca="1" si="16"/>
        <v>#NAME?</v>
      </c>
      <c r="O35" t="str">
        <f t="shared" ca="1" si="17"/>
        <v>№</v>
      </c>
      <c r="P35" t="e">
        <f t="shared" ca="1" si="18"/>
        <v>#NAME?</v>
      </c>
      <c r="Q35" t="e">
        <f t="shared" ca="1" si="19"/>
        <v>#NAME?</v>
      </c>
      <c r="R35" t="e">
        <f t="shared" ca="1" si="20"/>
        <v>#NAME?</v>
      </c>
      <c r="S35" t="e">
        <f t="shared" ca="1" si="21"/>
        <v>#NAME?</v>
      </c>
    </row>
    <row r="36" spans="9:19">
      <c r="I36" s="29" t="str">
        <f ca="1">'Группа А'!B36&amp;'Группа А'!K36</f>
        <v>28</v>
      </c>
      <c r="J36" s="29" t="str">
        <f ca="1">'Группа А'!K36&amp;'Группа А'!B36</f>
        <v>82</v>
      </c>
      <c r="L36" t="e">
        <f t="shared" ca="1" si="14"/>
        <v>#NAME?</v>
      </c>
      <c r="M36" t="e">
        <f t="shared" ca="1" si="15"/>
        <v>#NAME?</v>
      </c>
      <c r="N36" t="e">
        <f t="shared" ca="1" si="16"/>
        <v>#NAME?</v>
      </c>
      <c r="O36" t="e">
        <f t="shared" ca="1" si="17"/>
        <v>#NAME?</v>
      </c>
      <c r="P36" t="str">
        <f t="shared" ca="1" si="18"/>
        <v>№</v>
      </c>
      <c r="Q36" t="e">
        <f t="shared" ca="1" si="19"/>
        <v>#NAME?</v>
      </c>
      <c r="R36" t="e">
        <f t="shared" ca="1" si="20"/>
        <v>#NAME?</v>
      </c>
      <c r="S36" t="e">
        <f t="shared" ca="1" si="21"/>
        <v>#NAME?</v>
      </c>
    </row>
    <row r="37" spans="9:19">
      <c r="I37" s="29" t="str">
        <f ca="1">'Группа А'!B37&amp;'Группа А'!K37</f>
        <v>31</v>
      </c>
      <c r="J37" s="29" t="str">
        <f ca="1">'Группа А'!K37&amp;'Группа А'!B37</f>
        <v>13</v>
      </c>
      <c r="L37" t="e">
        <f t="shared" ca="1" si="14"/>
        <v>#NAME?</v>
      </c>
      <c r="M37" t="e">
        <f t="shared" ca="1" si="15"/>
        <v>#NAME?</v>
      </c>
      <c r="N37" t="e">
        <f t="shared" ca="1" si="16"/>
        <v>#NAME?</v>
      </c>
      <c r="O37" t="e">
        <f t="shared" ca="1" si="17"/>
        <v>#NAME?</v>
      </c>
      <c r="P37" t="str">
        <f t="shared" ca="1" si="18"/>
        <v>№</v>
      </c>
      <c r="Q37" t="e">
        <f t="shared" ca="1" si="19"/>
        <v>#NAME?</v>
      </c>
      <c r="R37" t="e">
        <f t="shared" ca="1" si="20"/>
        <v>#NAME?</v>
      </c>
      <c r="S37" t="e">
        <f t="shared" ca="1" si="21"/>
        <v>#NAME?</v>
      </c>
    </row>
    <row r="38" spans="9:19">
      <c r="I38" s="29" t="str">
        <f ca="1">'Группа А'!B38&amp;'Группа А'!K38</f>
        <v>47</v>
      </c>
      <c r="J38" s="29" t="str">
        <f ca="1">'Группа А'!K38&amp;'Группа А'!B38</f>
        <v>74</v>
      </c>
      <c r="L38" t="e">
        <f t="shared" ca="1" si="14"/>
        <v>#NAME?</v>
      </c>
      <c r="M38" t="e">
        <f t="shared" ca="1" si="15"/>
        <v>#NAME?</v>
      </c>
      <c r="N38" t="e">
        <f t="shared" ca="1" si="16"/>
        <v>#NAME?</v>
      </c>
      <c r="O38" t="e">
        <f t="shared" ca="1" si="17"/>
        <v>#NAME?</v>
      </c>
      <c r="P38" t="e">
        <f t="shared" ca="1" si="18"/>
        <v>#NAME?</v>
      </c>
      <c r="Q38" t="str">
        <f t="shared" ca="1" si="19"/>
        <v>№</v>
      </c>
      <c r="R38" t="e">
        <f t="shared" ca="1" si="20"/>
        <v>#NAME?</v>
      </c>
      <c r="S38" t="e">
        <f t="shared" ca="1" si="21"/>
        <v>#NAME?</v>
      </c>
    </row>
    <row r="39" spans="9:19">
      <c r="I39" s="29" t="str">
        <f ca="1">'Группа А'!B39&amp;'Группа А'!K39</f>
        <v>56</v>
      </c>
      <c r="J39" s="29" t="str">
        <f ca="1">'Группа А'!K39&amp;'Группа А'!B39</f>
        <v>65</v>
      </c>
      <c r="L39" t="e">
        <f t="shared" ca="1" si="14"/>
        <v>#NAME?</v>
      </c>
      <c r="M39" t="e">
        <f t="shared" ca="1" si="15"/>
        <v>#NAME?</v>
      </c>
      <c r="N39" t="e">
        <f t="shared" ca="1" si="16"/>
        <v>#NAME?</v>
      </c>
      <c r="O39" t="e">
        <f t="shared" ca="1" si="17"/>
        <v>#NAME?</v>
      </c>
      <c r="P39" t="e">
        <f t="shared" ca="1" si="18"/>
        <v>#NAME?</v>
      </c>
      <c r="Q39" t="str">
        <f t="shared" ca="1" si="19"/>
        <v>№</v>
      </c>
      <c r="R39" t="e">
        <f t="shared" ca="1" si="20"/>
        <v>#NAME?</v>
      </c>
      <c r="S39" t="e">
        <f t="shared" ca="1" si="21"/>
        <v>#NAME?</v>
      </c>
    </row>
    <row r="40" spans="9:19">
      <c r="I40" s="29" t="str">
        <f ca="1">'Группа А'!B40&amp;'Группа А'!K40</f>
        <v/>
      </c>
      <c r="J40" s="29" t="str">
        <f ca="1">'Группа А'!K40&amp;'Группа А'!B40</f>
        <v/>
      </c>
      <c r="L40" t="e">
        <f t="shared" ca="1" si="14"/>
        <v>#NAME?</v>
      </c>
      <c r="M40" t="e">
        <f t="shared" ca="1" si="15"/>
        <v>#NAME?</v>
      </c>
      <c r="N40" t="e">
        <f t="shared" ca="1" si="16"/>
        <v>#NAME?</v>
      </c>
      <c r="O40" t="e">
        <f t="shared" ca="1" si="17"/>
        <v>#NAME?</v>
      </c>
      <c r="P40" t="e">
        <f t="shared" ca="1" si="18"/>
        <v>#NAME?</v>
      </c>
      <c r="Q40" t="e">
        <f t="shared" ca="1" si="19"/>
        <v>#NAME?</v>
      </c>
      <c r="R40" t="str">
        <f t="shared" ca="1" si="20"/>
        <v>№</v>
      </c>
      <c r="S40" t="e">
        <f t="shared" ca="1" si="21"/>
        <v>#NAME?</v>
      </c>
    </row>
    <row r="41" spans="9:19">
      <c r="L41" t="e">
        <f t="shared" ca="1" si="14"/>
        <v>#NAME?</v>
      </c>
      <c r="M41" t="e">
        <f t="shared" ca="1" si="15"/>
        <v>#NAME?</v>
      </c>
      <c r="N41" t="e">
        <f t="shared" ca="1" si="16"/>
        <v>#NAME?</v>
      </c>
      <c r="O41" t="e">
        <f t="shared" ca="1" si="17"/>
        <v>#NAME?</v>
      </c>
      <c r="P41" t="e">
        <f t="shared" ca="1" si="18"/>
        <v>#NAME?</v>
      </c>
      <c r="Q41" t="e">
        <f t="shared" ca="1" si="19"/>
        <v>#NAME?</v>
      </c>
      <c r="R41" t="str">
        <f t="shared" ca="1" si="20"/>
        <v>№</v>
      </c>
      <c r="S41" t="e">
        <f t="shared" ca="1" si="21"/>
        <v>#NAME?</v>
      </c>
    </row>
    <row r="42" spans="9:19">
      <c r="I42" s="29" t="str">
        <f ca="1">'Группа А'!B42&amp;'Группа А'!K42</f>
        <v>86</v>
      </c>
      <c r="J42" s="29" t="str">
        <f ca="1">'Группа А'!K42&amp;'Группа А'!B42</f>
        <v>68</v>
      </c>
      <c r="L42" t="e">
        <f t="shared" ca="1" si="14"/>
        <v>#NAME?</v>
      </c>
      <c r="M42" t="e">
        <f t="shared" ca="1" si="15"/>
        <v>#NAME?</v>
      </c>
      <c r="N42" t="e">
        <f t="shared" ca="1" si="16"/>
        <v>#NAME?</v>
      </c>
      <c r="O42" t="e">
        <f t="shared" ca="1" si="17"/>
        <v>#NAME?</v>
      </c>
      <c r="P42" t="e">
        <f t="shared" ca="1" si="18"/>
        <v>#NAME?</v>
      </c>
      <c r="Q42" t="e">
        <f t="shared" ca="1" si="19"/>
        <v>#NAME?</v>
      </c>
      <c r="R42" t="e">
        <f t="shared" ca="1" si="20"/>
        <v>#NAME?</v>
      </c>
      <c r="S42" t="str">
        <f t="shared" ca="1" si="21"/>
        <v>№</v>
      </c>
    </row>
    <row r="43" spans="9:19">
      <c r="I43" s="29" t="str">
        <f ca="1">'Группа А'!B43&amp;'Группа А'!K43</f>
        <v>75</v>
      </c>
      <c r="J43" s="29" t="str">
        <f ca="1">'Группа А'!K43&amp;'Группа А'!B43</f>
        <v>57</v>
      </c>
      <c r="L43" t="e">
        <f t="shared" ca="1" si="14"/>
        <v>#NAME?</v>
      </c>
      <c r="M43" t="e">
        <f t="shared" ca="1" si="15"/>
        <v>#NAME?</v>
      </c>
      <c r="N43" t="e">
        <f t="shared" ca="1" si="16"/>
        <v>#NAME?</v>
      </c>
      <c r="O43" t="e">
        <f t="shared" ca="1" si="17"/>
        <v>#NAME?</v>
      </c>
      <c r="P43" t="e">
        <f t="shared" ca="1" si="18"/>
        <v>#NAME?</v>
      </c>
      <c r="Q43" t="e">
        <f t="shared" ca="1" si="19"/>
        <v>#NAME?</v>
      </c>
      <c r="R43" t="e">
        <f t="shared" ca="1" si="20"/>
        <v>#NAME?</v>
      </c>
      <c r="S43" t="str">
        <f t="shared" ca="1" si="21"/>
        <v>№</v>
      </c>
    </row>
    <row r="44" spans="9:19">
      <c r="I44" s="29" t="str">
        <f ca="1">'Группа А'!B44&amp;'Группа А'!K44</f>
        <v>14</v>
      </c>
      <c r="J44" s="29" t="str">
        <f ca="1">'Группа А'!K44&amp;'Группа А'!B44</f>
        <v>41</v>
      </c>
    </row>
    <row r="45" spans="9:19">
      <c r="I45" s="29" t="str">
        <f ca="1">'Группа А'!B45&amp;'Группа А'!K45</f>
        <v>23</v>
      </c>
      <c r="J45" s="29" t="str">
        <f ca="1">'Группа А'!K45&amp;'Группа А'!B45</f>
        <v>32</v>
      </c>
    </row>
    <row r="46" spans="9:19">
      <c r="I46" s="29" t="str">
        <f ca="1">'Группа А'!B46&amp;'Группа А'!K46</f>
        <v/>
      </c>
      <c r="J46" s="29" t="str">
        <f ca="1">'Группа А'!K46&amp;'Группа А'!B46</f>
        <v/>
      </c>
    </row>
    <row r="48" spans="9:19">
      <c r="I48" s="29" t="str">
        <f ca="1">'Группа А'!B48&amp;'Группа А'!K48</f>
        <v>38</v>
      </c>
      <c r="J48" s="29" t="str">
        <f ca="1">'Группа А'!K48&amp;'Группа А'!B48</f>
        <v>83</v>
      </c>
    </row>
    <row r="49" spans="9:10">
      <c r="I49" s="29" t="str">
        <f ca="1">'Группа А'!B49&amp;'Группа А'!K49</f>
        <v>42</v>
      </c>
      <c r="J49" s="29" t="str">
        <f ca="1">'Группа А'!K49&amp;'Группа А'!B49</f>
        <v>24</v>
      </c>
    </row>
    <row r="50" spans="9:10">
      <c r="I50" s="29" t="str">
        <f ca="1">'Группа А'!B50&amp;'Группа А'!K50</f>
        <v>51</v>
      </c>
      <c r="J50" s="29" t="str">
        <f ca="1">'Группа А'!K50&amp;'Группа А'!B50</f>
        <v>15</v>
      </c>
    </row>
    <row r="51" spans="9:10">
      <c r="I51" s="29" t="str">
        <f ca="1">'Группа А'!B51&amp;'Группа А'!K51</f>
        <v>67</v>
      </c>
      <c r="J51" s="29" t="str">
        <f ca="1">'Группа А'!K51&amp;'Группа А'!B51</f>
        <v>76</v>
      </c>
    </row>
    <row r="52" spans="9:10">
      <c r="I52" s="29" t="str">
        <f ca="1">'Группа А'!B52&amp;'Группа А'!K52</f>
        <v/>
      </c>
      <c r="J52" s="29" t="str">
        <f ca="1">'Группа А'!K52&amp;'Группа А'!B52</f>
        <v/>
      </c>
    </row>
    <row r="54" spans="9:10">
      <c r="I54" s="29" t="str">
        <f ca="1">'Группа А'!B54&amp;'Группа А'!K54</f>
        <v>87</v>
      </c>
      <c r="J54" s="29" t="str">
        <f ca="1">'Группа А'!K54&amp;'Группа А'!B54</f>
        <v>78</v>
      </c>
    </row>
    <row r="55" spans="9:10">
      <c r="I55" s="29" t="str">
        <f ca="1">'Группа А'!B55&amp;'Группа А'!K55</f>
        <v>16</v>
      </c>
      <c r="J55" s="29" t="str">
        <f ca="1">'Группа А'!K55&amp;'Группа А'!B55</f>
        <v>61</v>
      </c>
    </row>
    <row r="56" spans="9:10">
      <c r="I56" s="29" t="str">
        <f ca="1">'Группа А'!B56&amp;'Группа А'!K56</f>
        <v>25</v>
      </c>
      <c r="J56" s="29" t="str">
        <f ca="1">'Группа А'!K56&amp;'Группа А'!B56</f>
        <v>52</v>
      </c>
    </row>
    <row r="57" spans="9:10">
      <c r="I57" s="29" t="str">
        <f ca="1">'Группа А'!B57&amp;'Группа А'!K57</f>
        <v>34</v>
      </c>
      <c r="J57" s="29" t="str">
        <f ca="1">'Группа А'!K57&amp;'Группа А'!B57</f>
        <v>43</v>
      </c>
    </row>
    <row r="58" spans="9:10">
      <c r="I58" s="29" t="str">
        <f ca="1">'Группа А'!B58&amp;'Группа А'!K58</f>
        <v/>
      </c>
      <c r="J58" s="29" t="str">
        <f ca="1">'Группа А'!K58&amp;'Группа А'!B58</f>
        <v/>
      </c>
    </row>
    <row r="60" spans="9:10">
      <c r="I60" s="29" t="str">
        <f ca="1">'Группа А'!B60&amp;'Группа А'!K60</f>
        <v>48</v>
      </c>
      <c r="J60" s="29" t="str">
        <f ca="1">'Группа А'!K60&amp;'Группа А'!B60</f>
        <v>84</v>
      </c>
    </row>
    <row r="61" spans="9:10">
      <c r="I61" s="29" t="str">
        <f ca="1">'Группа А'!B61&amp;'Группа А'!K61</f>
        <v>53</v>
      </c>
      <c r="J61" s="29" t="str">
        <f ca="1">'Группа А'!K61&amp;'Группа А'!B61</f>
        <v>35</v>
      </c>
    </row>
    <row r="62" spans="9:10">
      <c r="I62" s="29" t="str">
        <f ca="1">'Группа А'!B62&amp;'Группа А'!K62</f>
        <v>62</v>
      </c>
      <c r="J62" s="29" t="str">
        <f ca="1">'Группа А'!K62&amp;'Группа А'!B62</f>
        <v>26</v>
      </c>
    </row>
    <row r="63" spans="9:10">
      <c r="I63" s="29" t="str">
        <f ca="1">'Группа А'!B63&amp;'Группа А'!K63</f>
        <v>71</v>
      </c>
      <c r="J63" s="29" t="str">
        <f ca="1">'Группа А'!K63&amp;'Группа А'!B63</f>
        <v>17</v>
      </c>
    </row>
    <row r="67" spans="12:12">
      <c r="L67" t="s">
        <v>44</v>
      </c>
    </row>
  </sheetData>
  <sheetCalcPr fullCalcOnLoad="1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Группа А</vt:lpstr>
      <vt:lpstr>Группа В</vt:lpstr>
      <vt:lpstr>Плей офф Кубок А-В</vt:lpstr>
      <vt:lpstr>Плей офф Кубок В</vt:lpstr>
      <vt:lpstr>Детский командный</vt:lpstr>
      <vt:lpstr>Детский личный</vt:lpstr>
      <vt:lpstr>Кубок С (дружеский)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2023-08-30T21:35:34Z</cp:lastPrinted>
  <dcterms:created xsi:type="dcterms:W3CDTF">2009-05-19T09:37:00Z</dcterms:created>
  <dcterms:modified xsi:type="dcterms:W3CDTF">2023-08-30T22:00:35Z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34E7F48F373F4153984B34D87DB7B9CD</vt:lpwstr>
  </property>
  <property fmtid="{D5CDD505-2E9C-101B-9397-08002B2CF9AE}" pid="3" name="KSOProductBuildVer">
    <vt:lpwstr>1049-11.2.0.11537</vt:lpwstr>
  </property>
</Properties>
</file>